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13_ncr:1_{3E6156A0-4AE6-4611-92D8-ADDD164516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stawowe dane" sheetId="1" r:id="rId1"/>
    <sheet name="Analizy opłacalnośc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2" l="1"/>
  <c r="C42" i="2" s="1"/>
  <c r="B38" i="2"/>
  <c r="B34" i="2"/>
  <c r="B11" i="2"/>
  <c r="A14" i="2" l="1"/>
  <c r="E42" i="2"/>
  <c r="J51" i="2" s="1"/>
  <c r="B64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65" i="2"/>
  <c r="H61" i="2"/>
  <c r="H60" i="2"/>
  <c r="H59" i="2"/>
  <c r="H58" i="2"/>
  <c r="H57" i="2"/>
  <c r="H56" i="2"/>
  <c r="H55" i="2"/>
  <c r="H54" i="2"/>
  <c r="H53" i="2"/>
  <c r="H52" i="2"/>
  <c r="H51" i="2"/>
  <c r="H50" i="2"/>
  <c r="H47" i="2"/>
  <c r="H48" i="2"/>
  <c r="H49" i="2"/>
  <c r="H46" i="2"/>
  <c r="E38" i="2"/>
  <c r="I52" i="2" s="1"/>
  <c r="R134" i="1"/>
  <c r="R139" i="1" s="1"/>
  <c r="T134" i="1"/>
  <c r="B41" i="2"/>
  <c r="E41" i="2" s="1"/>
  <c r="J50" i="2" s="1"/>
  <c r="B10" i="2"/>
  <c r="C41" i="2" s="1"/>
  <c r="N8" i="2"/>
  <c r="L11" i="2"/>
  <c r="N10" i="2"/>
  <c r="N9" i="2"/>
  <c r="N7" i="2"/>
  <c r="N6" i="2"/>
  <c r="B37" i="2"/>
  <c r="E37" i="2" s="1"/>
  <c r="B33" i="2"/>
  <c r="G11" i="2"/>
  <c r="I10" i="2"/>
  <c r="I9" i="2"/>
  <c r="I8" i="2"/>
  <c r="I7" i="2"/>
  <c r="I6" i="2"/>
  <c r="Q134" i="1"/>
  <c r="Q136" i="1" s="1"/>
  <c r="B16" i="2"/>
  <c r="B17" i="2"/>
  <c r="B18" i="2"/>
  <c r="B19" i="2"/>
  <c r="B20" i="2"/>
  <c r="B21" i="2"/>
  <c r="B22" i="2"/>
  <c r="B23" i="2"/>
  <c r="B15" i="2"/>
  <c r="A35" i="1"/>
  <c r="A36" i="1"/>
  <c r="A37" i="1"/>
  <c r="A38" i="1"/>
  <c r="A39" i="1"/>
  <c r="A40" i="1"/>
  <c r="A41" i="1"/>
  <c r="A42" i="1"/>
  <c r="A34" i="1"/>
  <c r="D96" i="1"/>
  <c r="P95" i="1"/>
  <c r="P89" i="1"/>
  <c r="P83" i="1"/>
  <c r="P77" i="1"/>
  <c r="P71" i="1"/>
  <c r="P65" i="1"/>
  <c r="P59" i="1"/>
  <c r="P53" i="1"/>
  <c r="P47" i="1"/>
  <c r="D60" i="1"/>
  <c r="D48" i="1"/>
  <c r="C71" i="1"/>
  <c r="C77" i="1" s="1"/>
  <c r="C83" i="1" s="1"/>
  <c r="C89" i="1" s="1"/>
  <c r="C95" i="1" s="1"/>
  <c r="D71" i="1"/>
  <c r="D77" i="1" s="1"/>
  <c r="B71" i="1"/>
  <c r="B77" i="1" s="1"/>
  <c r="B83" i="1" s="1"/>
  <c r="B89" i="1" s="1"/>
  <c r="B95" i="1" s="1"/>
  <c r="C65" i="1"/>
  <c r="D65" i="1"/>
  <c r="B65" i="1"/>
  <c r="C59" i="1"/>
  <c r="D59" i="1"/>
  <c r="B59" i="1"/>
  <c r="C53" i="1"/>
  <c r="D53" i="1"/>
  <c r="B53" i="1"/>
  <c r="B96" i="1"/>
  <c r="C96" i="1"/>
  <c r="B97" i="1"/>
  <c r="C97" i="1"/>
  <c r="D97" i="1"/>
  <c r="B54" i="1"/>
  <c r="B55" i="1"/>
  <c r="D50" i="1"/>
  <c r="D56" i="1" s="1"/>
  <c r="D62" i="1" s="1"/>
  <c r="C50" i="1"/>
  <c r="C56" i="1" s="1"/>
  <c r="C62" i="1" s="1"/>
  <c r="C68" i="1" s="1"/>
  <c r="C74" i="1" s="1"/>
  <c r="C80" i="1" s="1"/>
  <c r="C86" i="1" s="1"/>
  <c r="C92" i="1" s="1"/>
  <c r="C98" i="1" s="1"/>
  <c r="D47" i="1"/>
  <c r="C47" i="1"/>
  <c r="B50" i="1"/>
  <c r="B56" i="1" s="1"/>
  <c r="B62" i="1" s="1"/>
  <c r="B68" i="1" s="1"/>
  <c r="B74" i="1" s="1"/>
  <c r="B80" i="1" s="1"/>
  <c r="B86" i="1" s="1"/>
  <c r="B92" i="1" s="1"/>
  <c r="B98" i="1" s="1"/>
  <c r="B47" i="1"/>
  <c r="J57" i="2" l="1"/>
  <c r="J55" i="2"/>
  <c r="J47" i="2"/>
  <c r="J49" i="2"/>
  <c r="J46" i="2"/>
  <c r="I54" i="2"/>
  <c r="I47" i="2"/>
  <c r="I55" i="2"/>
  <c r="I58" i="2"/>
  <c r="I59" i="2"/>
  <c r="I46" i="2"/>
  <c r="I50" i="2"/>
  <c r="I51" i="2"/>
  <c r="J56" i="2"/>
  <c r="J48" i="2"/>
  <c r="J54" i="2"/>
  <c r="J61" i="2"/>
  <c r="J53" i="2"/>
  <c r="J60" i="2"/>
  <c r="J52" i="2"/>
  <c r="J59" i="2"/>
  <c r="J58" i="2"/>
  <c r="I57" i="2"/>
  <c r="I56" i="2"/>
  <c r="I48" i="2"/>
  <c r="I49" i="2"/>
  <c r="I60" i="2"/>
  <c r="I61" i="2"/>
  <c r="I53" i="2"/>
  <c r="R137" i="1"/>
  <c r="R138" i="1"/>
  <c r="T138" i="1"/>
  <c r="T136" i="1"/>
  <c r="T139" i="1"/>
  <c r="T137" i="1"/>
  <c r="T140" i="1"/>
  <c r="T141" i="1"/>
  <c r="T135" i="1"/>
  <c r="R136" i="1"/>
  <c r="R135" i="1"/>
  <c r="N11" i="2"/>
  <c r="R141" i="1"/>
  <c r="R140" i="1"/>
  <c r="I11" i="2"/>
  <c r="G12" i="2" s="1"/>
  <c r="S134" i="1"/>
  <c r="S139" i="1" s="1"/>
  <c r="Q140" i="1"/>
  <c r="Q135" i="1"/>
  <c r="Q141" i="1"/>
  <c r="Q139" i="1"/>
  <c r="Q138" i="1"/>
  <c r="Q137" i="1"/>
  <c r="B110" i="1"/>
  <c r="K53" i="1"/>
  <c r="O60" i="1"/>
  <c r="P60" i="1" s="1"/>
  <c r="K65" i="1"/>
  <c r="K97" i="1"/>
  <c r="K59" i="1"/>
  <c r="K47" i="1"/>
  <c r="K96" i="1"/>
  <c r="O54" i="1"/>
  <c r="P54" i="1" s="1"/>
  <c r="K71" i="1"/>
  <c r="O48" i="1"/>
  <c r="P48" i="1" s="1"/>
  <c r="K77" i="1"/>
  <c r="D83" i="1"/>
  <c r="D68" i="1"/>
  <c r="K62" i="1"/>
  <c r="K56" i="1"/>
  <c r="K50" i="1"/>
  <c r="L12" i="2" l="1"/>
  <c r="S141" i="1"/>
  <c r="T142" i="1"/>
  <c r="T143" i="1" s="1"/>
  <c r="E47" i="2" s="1"/>
  <c r="R142" i="1"/>
  <c r="R143" i="1" s="1"/>
  <c r="S137" i="1"/>
  <c r="S140" i="1"/>
  <c r="S138" i="1"/>
  <c r="S135" i="1"/>
  <c r="S136" i="1"/>
  <c r="B5" i="2"/>
  <c r="U134" i="1" s="1"/>
  <c r="C37" i="2"/>
  <c r="Q142" i="1"/>
  <c r="Q143" i="1" s="1"/>
  <c r="B42" i="1"/>
  <c r="C23" i="2"/>
  <c r="O66" i="1"/>
  <c r="P66" i="1" s="1"/>
  <c r="D74" i="1"/>
  <c r="K68" i="1"/>
  <c r="D89" i="1"/>
  <c r="K83" i="1"/>
  <c r="C38" i="2" l="1"/>
  <c r="B6" i="2"/>
  <c r="V134" i="1"/>
  <c r="V141" i="1" s="1"/>
  <c r="C61" i="2"/>
  <c r="C53" i="2"/>
  <c r="C60" i="2"/>
  <c r="C52" i="2"/>
  <c r="C59" i="2"/>
  <c r="C51" i="2"/>
  <c r="C58" i="2"/>
  <c r="C50" i="2"/>
  <c r="C54" i="2"/>
  <c r="C46" i="2"/>
  <c r="C47" i="2"/>
  <c r="C57" i="2"/>
  <c r="C49" i="2"/>
  <c r="C55" i="2"/>
  <c r="C56" i="2"/>
  <c r="C48" i="2"/>
  <c r="E51" i="2"/>
  <c r="E59" i="2"/>
  <c r="E53" i="2"/>
  <c r="E61" i="2"/>
  <c r="E57" i="2"/>
  <c r="E55" i="2"/>
  <c r="E49" i="2"/>
  <c r="S142" i="1"/>
  <c r="S143" i="1" s="1"/>
  <c r="U136" i="1"/>
  <c r="U138" i="1"/>
  <c r="U139" i="1"/>
  <c r="U137" i="1"/>
  <c r="U135" i="1"/>
  <c r="U141" i="1"/>
  <c r="U140" i="1"/>
  <c r="O72" i="1"/>
  <c r="P72" i="1" s="1"/>
  <c r="K89" i="1"/>
  <c r="D95" i="1"/>
  <c r="K95" i="1" s="1"/>
  <c r="K74" i="1"/>
  <c r="D80" i="1"/>
  <c r="V135" i="1" l="1"/>
  <c r="V137" i="1"/>
  <c r="V139" i="1"/>
  <c r="V140" i="1"/>
  <c r="V138" i="1"/>
  <c r="V136" i="1"/>
  <c r="E48" i="2"/>
  <c r="E46" i="2"/>
  <c r="E50" i="2"/>
  <c r="E52" i="2"/>
  <c r="E54" i="2"/>
  <c r="E56" i="2"/>
  <c r="E58" i="2"/>
  <c r="E60" i="2"/>
  <c r="U142" i="1"/>
  <c r="U143" i="1" s="1"/>
  <c r="K80" i="1"/>
  <c r="O78" i="1"/>
  <c r="P78" i="1" s="1"/>
  <c r="D86" i="1"/>
  <c r="V142" i="1" l="1"/>
  <c r="V143" i="1" s="1"/>
  <c r="D57" i="2" s="1"/>
  <c r="D46" i="2"/>
  <c r="D50" i="2"/>
  <c r="D58" i="2"/>
  <c r="D51" i="2"/>
  <c r="D59" i="2"/>
  <c r="D54" i="2"/>
  <c r="D47" i="2"/>
  <c r="D55" i="2"/>
  <c r="D56" i="2"/>
  <c r="D52" i="2"/>
  <c r="D60" i="2"/>
  <c r="D48" i="2"/>
  <c r="D53" i="2"/>
  <c r="D61" i="2"/>
  <c r="D49" i="2"/>
  <c r="O84" i="1"/>
  <c r="P84" i="1" s="1"/>
  <c r="D92" i="1"/>
  <c r="K86" i="1"/>
  <c r="O90" i="1" l="1"/>
  <c r="P90" i="1" s="1"/>
  <c r="K92" i="1"/>
  <c r="D98" i="1"/>
  <c r="C66" i="1"/>
  <c r="D66" i="1"/>
  <c r="E66" i="1"/>
  <c r="F66" i="1"/>
  <c r="C67" i="1"/>
  <c r="D67" i="1"/>
  <c r="E67" i="1"/>
  <c r="F67" i="1"/>
  <c r="C72" i="1"/>
  <c r="D72" i="1"/>
  <c r="E72" i="1"/>
  <c r="F72" i="1"/>
  <c r="C73" i="1"/>
  <c r="D73" i="1"/>
  <c r="E73" i="1"/>
  <c r="F73" i="1"/>
  <c r="C78" i="1"/>
  <c r="D78" i="1"/>
  <c r="E78" i="1"/>
  <c r="F78" i="1"/>
  <c r="C79" i="1"/>
  <c r="D79" i="1"/>
  <c r="E79" i="1"/>
  <c r="F79" i="1"/>
  <c r="C84" i="1"/>
  <c r="D84" i="1"/>
  <c r="E84" i="1"/>
  <c r="F84" i="1"/>
  <c r="C85" i="1"/>
  <c r="D85" i="1"/>
  <c r="E85" i="1"/>
  <c r="F85" i="1"/>
  <c r="C90" i="1"/>
  <c r="D90" i="1"/>
  <c r="E90" i="1"/>
  <c r="F90" i="1"/>
  <c r="C91" i="1"/>
  <c r="D91" i="1"/>
  <c r="E91" i="1"/>
  <c r="F91" i="1"/>
  <c r="E96" i="1"/>
  <c r="F96" i="1"/>
  <c r="E97" i="1"/>
  <c r="F97" i="1"/>
  <c r="B91" i="1"/>
  <c r="B90" i="1"/>
  <c r="B85" i="1"/>
  <c r="B84" i="1"/>
  <c r="B79" i="1"/>
  <c r="B78" i="1"/>
  <c r="B73" i="1"/>
  <c r="B72" i="1"/>
  <c r="B67" i="1"/>
  <c r="B66" i="1"/>
  <c r="C60" i="1"/>
  <c r="K60" i="1" s="1"/>
  <c r="E60" i="1"/>
  <c r="F60" i="1"/>
  <c r="C61" i="1"/>
  <c r="D61" i="1"/>
  <c r="E61" i="1"/>
  <c r="F61" i="1"/>
  <c r="B61" i="1"/>
  <c r="B60" i="1"/>
  <c r="B104" i="1" s="1"/>
  <c r="C55" i="1"/>
  <c r="D55" i="1"/>
  <c r="E55" i="1"/>
  <c r="F55" i="1"/>
  <c r="C54" i="1"/>
  <c r="D54" i="1"/>
  <c r="B103" i="1" s="1"/>
  <c r="E54" i="1"/>
  <c r="F54" i="1"/>
  <c r="D49" i="1"/>
  <c r="E49" i="1"/>
  <c r="F49" i="1"/>
  <c r="E48" i="1"/>
  <c r="F48" i="1"/>
  <c r="C49" i="1"/>
  <c r="C48" i="1"/>
  <c r="K48" i="1" s="1"/>
  <c r="B49" i="1"/>
  <c r="B48" i="1"/>
  <c r="G25" i="1"/>
  <c r="G24" i="1"/>
  <c r="I91" i="1" s="1"/>
  <c r="G23" i="1"/>
  <c r="G21" i="1"/>
  <c r="G20" i="1"/>
  <c r="G19" i="1"/>
  <c r="B36" i="1" l="1"/>
  <c r="C17" i="2"/>
  <c r="B35" i="1"/>
  <c r="C16" i="2"/>
  <c r="B105" i="1"/>
  <c r="B107" i="1"/>
  <c r="B109" i="1"/>
  <c r="K90" i="1"/>
  <c r="B106" i="1"/>
  <c r="K84" i="1"/>
  <c r="B102" i="1"/>
  <c r="B108" i="1"/>
  <c r="K78" i="1"/>
  <c r="K91" i="1"/>
  <c r="O61" i="1"/>
  <c r="P61" i="1" s="1"/>
  <c r="O62" i="1"/>
  <c r="P62" i="1" s="1"/>
  <c r="O63" i="1"/>
  <c r="P63" i="1" s="1"/>
  <c r="K98" i="1"/>
  <c r="K99" i="1" s="1"/>
  <c r="O96" i="1"/>
  <c r="P96" i="1" s="1"/>
  <c r="O99" i="1"/>
  <c r="P99" i="1" s="1"/>
  <c r="O98" i="1"/>
  <c r="P98" i="1" s="1"/>
  <c r="O97" i="1"/>
  <c r="P97" i="1" s="1"/>
  <c r="O92" i="1"/>
  <c r="P92" i="1" s="1"/>
  <c r="K54" i="1"/>
  <c r="K85" i="1"/>
  <c r="O87" i="1"/>
  <c r="P87" i="1" s="1"/>
  <c r="O85" i="1"/>
  <c r="P85" i="1" s="1"/>
  <c r="O86" i="1"/>
  <c r="P86" i="1" s="1"/>
  <c r="K79" i="1"/>
  <c r="O79" i="1"/>
  <c r="P79" i="1" s="1"/>
  <c r="O81" i="1"/>
  <c r="P81" i="1" s="1"/>
  <c r="O80" i="1"/>
  <c r="P80" i="1" s="1"/>
  <c r="K73" i="1"/>
  <c r="O74" i="1"/>
  <c r="P74" i="1" s="1"/>
  <c r="O73" i="1"/>
  <c r="P73" i="1" s="1"/>
  <c r="O75" i="1"/>
  <c r="P75" i="1" s="1"/>
  <c r="O69" i="1"/>
  <c r="P69" i="1" s="1"/>
  <c r="O68" i="1"/>
  <c r="P68" i="1" s="1"/>
  <c r="O67" i="1"/>
  <c r="P67" i="1" s="1"/>
  <c r="O93" i="1"/>
  <c r="P93" i="1" s="1"/>
  <c r="O91" i="1"/>
  <c r="P91" i="1" s="1"/>
  <c r="K61" i="1"/>
  <c r="K63" i="1" s="1"/>
  <c r="K67" i="1"/>
  <c r="K55" i="1"/>
  <c r="O55" i="1"/>
  <c r="P55" i="1" s="1"/>
  <c r="O56" i="1"/>
  <c r="P56" i="1" s="1"/>
  <c r="O57" i="1"/>
  <c r="P57" i="1" s="1"/>
  <c r="K72" i="1"/>
  <c r="K66" i="1"/>
  <c r="O51" i="1"/>
  <c r="P51" i="1" s="1"/>
  <c r="O49" i="1"/>
  <c r="P49" i="1" s="1"/>
  <c r="O50" i="1"/>
  <c r="P50" i="1" s="1"/>
  <c r="K49" i="1"/>
  <c r="K51" i="1" s="1"/>
  <c r="I90" i="1"/>
  <c r="I93" i="1" s="1"/>
  <c r="I84" i="1"/>
  <c r="I66" i="1"/>
  <c r="I60" i="1"/>
  <c r="I78" i="1"/>
  <c r="I54" i="1"/>
  <c r="I79" i="1"/>
  <c r="I97" i="1"/>
  <c r="I73" i="1"/>
  <c r="I49" i="1"/>
  <c r="I85" i="1"/>
  <c r="I61" i="1"/>
  <c r="I55" i="1"/>
  <c r="I96" i="1"/>
  <c r="I72" i="1"/>
  <c r="I48" i="1"/>
  <c r="I67" i="1"/>
  <c r="B41" i="1" l="1"/>
  <c r="C22" i="2"/>
  <c r="B39" i="1"/>
  <c r="C20" i="2"/>
  <c r="B37" i="1"/>
  <c r="C18" i="2"/>
  <c r="B40" i="1"/>
  <c r="C21" i="2"/>
  <c r="B34" i="1"/>
  <c r="C15" i="2"/>
  <c r="B38" i="1"/>
  <c r="C19" i="2"/>
  <c r="K93" i="1"/>
  <c r="L92" i="1" s="1"/>
  <c r="Q89" i="1" s="1"/>
  <c r="K81" i="1"/>
  <c r="E107" i="1" s="1"/>
  <c r="F107" i="1" s="1"/>
  <c r="D20" i="2" s="1"/>
  <c r="K87" i="1"/>
  <c r="L83" i="1" s="1"/>
  <c r="Q86" i="1" s="1"/>
  <c r="C109" i="1"/>
  <c r="N144" i="1"/>
  <c r="R95" i="1"/>
  <c r="D110" i="1" s="1"/>
  <c r="E110" i="1"/>
  <c r="F110" i="1" s="1"/>
  <c r="D23" i="2" s="1"/>
  <c r="R59" i="1"/>
  <c r="D104" i="1" s="1"/>
  <c r="E104" i="1"/>
  <c r="F104" i="1" s="1"/>
  <c r="D17" i="2" s="1"/>
  <c r="I99" i="1"/>
  <c r="R47" i="1"/>
  <c r="D102" i="1" s="1"/>
  <c r="E102" i="1"/>
  <c r="L95" i="1"/>
  <c r="Q98" i="1" s="1"/>
  <c r="L98" i="1"/>
  <c r="Q95" i="1" s="1"/>
  <c r="K57" i="1"/>
  <c r="L56" i="1" s="1"/>
  <c r="Q53" i="1" s="1"/>
  <c r="M95" i="1"/>
  <c r="Q99" i="1" s="1"/>
  <c r="L96" i="1"/>
  <c r="Q97" i="1" s="1"/>
  <c r="K75" i="1"/>
  <c r="M71" i="1" s="1"/>
  <c r="Q75" i="1" s="1"/>
  <c r="L97" i="1"/>
  <c r="Q96" i="1" s="1"/>
  <c r="I87" i="1"/>
  <c r="L61" i="1"/>
  <c r="Q60" i="1" s="1"/>
  <c r="L59" i="1"/>
  <c r="Q62" i="1" s="1"/>
  <c r="L62" i="1"/>
  <c r="Q59" i="1" s="1"/>
  <c r="M59" i="1"/>
  <c r="Q63" i="1" s="1"/>
  <c r="L60" i="1"/>
  <c r="Q61" i="1" s="1"/>
  <c r="K69" i="1"/>
  <c r="E105" i="1" s="1"/>
  <c r="F105" i="1" s="1"/>
  <c r="D18" i="2" s="1"/>
  <c r="L47" i="1"/>
  <c r="Q50" i="1" s="1"/>
  <c r="L50" i="1"/>
  <c r="Q47" i="1" s="1"/>
  <c r="L48" i="1"/>
  <c r="Q49" i="1" s="1"/>
  <c r="M47" i="1"/>
  <c r="Q51" i="1" s="1"/>
  <c r="L49" i="1"/>
  <c r="Q48" i="1" s="1"/>
  <c r="I63" i="1"/>
  <c r="I75" i="1"/>
  <c r="I69" i="1"/>
  <c r="I51" i="1"/>
  <c r="I81" i="1"/>
  <c r="I57" i="1"/>
  <c r="L78" i="1" l="1"/>
  <c r="Q79" i="1" s="1"/>
  <c r="L85" i="1"/>
  <c r="Q84" i="1" s="1"/>
  <c r="L86" i="1"/>
  <c r="Q83" i="1" s="1"/>
  <c r="R83" i="1"/>
  <c r="D108" i="1" s="1"/>
  <c r="E108" i="1"/>
  <c r="F108" i="1" s="1"/>
  <c r="D21" i="2" s="1"/>
  <c r="M83" i="1"/>
  <c r="Q87" i="1" s="1"/>
  <c r="R77" i="1"/>
  <c r="D107" i="1" s="1"/>
  <c r="L80" i="1"/>
  <c r="Q77" i="1" s="1"/>
  <c r="L79" i="1"/>
  <c r="Q78" i="1" s="1"/>
  <c r="L84" i="1"/>
  <c r="Q85" i="1" s="1"/>
  <c r="M77" i="1"/>
  <c r="Q81" i="1" s="1"/>
  <c r="I179" i="1"/>
  <c r="E22" i="2"/>
  <c r="E109" i="1"/>
  <c r="F109" i="1" s="1"/>
  <c r="G109" i="1" s="1"/>
  <c r="D41" i="1" s="1"/>
  <c r="H22" i="2" s="1"/>
  <c r="L89" i="1"/>
  <c r="Q92" i="1" s="1"/>
  <c r="L91" i="1"/>
  <c r="Q90" i="1" s="1"/>
  <c r="R89" i="1"/>
  <c r="D109" i="1" s="1"/>
  <c r="M89" i="1"/>
  <c r="Q93" i="1" s="1"/>
  <c r="L90" i="1"/>
  <c r="Q91" i="1" s="1"/>
  <c r="G105" i="1"/>
  <c r="D37" i="1" s="1"/>
  <c r="H18" i="2" s="1"/>
  <c r="C37" i="1"/>
  <c r="G110" i="1"/>
  <c r="D42" i="1" s="1"/>
  <c r="H23" i="2" s="1"/>
  <c r="C42" i="1"/>
  <c r="G104" i="1"/>
  <c r="D36" i="1" s="1"/>
  <c r="H17" i="2" s="1"/>
  <c r="C36" i="1"/>
  <c r="G107" i="1"/>
  <c r="D39" i="1" s="1"/>
  <c r="H20" i="2" s="1"/>
  <c r="C39" i="1"/>
  <c r="L77" i="1"/>
  <c r="Q80" i="1" s="1"/>
  <c r="B248" i="1"/>
  <c r="F102" i="1"/>
  <c r="D15" i="2" s="1"/>
  <c r="C108" i="1"/>
  <c r="M144" i="1"/>
  <c r="C103" i="1"/>
  <c r="H144" i="1"/>
  <c r="C110" i="1"/>
  <c r="O144" i="1"/>
  <c r="C106" i="1"/>
  <c r="K144" i="1"/>
  <c r="C107" i="1"/>
  <c r="L144" i="1"/>
  <c r="C104" i="1"/>
  <c r="I144" i="1"/>
  <c r="C102" i="1"/>
  <c r="G144" i="1"/>
  <c r="C105" i="1"/>
  <c r="J144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B249" i="1"/>
  <c r="B257" i="1"/>
  <c r="B265" i="1"/>
  <c r="B273" i="1"/>
  <c r="B281" i="1"/>
  <c r="B250" i="1"/>
  <c r="B258" i="1"/>
  <c r="B266" i="1"/>
  <c r="B274" i="1"/>
  <c r="B282" i="1"/>
  <c r="B251" i="1"/>
  <c r="B259" i="1"/>
  <c r="B267" i="1"/>
  <c r="B275" i="1"/>
  <c r="B283" i="1"/>
  <c r="B260" i="1"/>
  <c r="B268" i="1"/>
  <c r="B284" i="1"/>
  <c r="B278" i="1"/>
  <c r="B252" i="1"/>
  <c r="B276" i="1"/>
  <c r="B270" i="1"/>
  <c r="B253" i="1"/>
  <c r="B261" i="1"/>
  <c r="B269" i="1"/>
  <c r="B277" i="1"/>
  <c r="B285" i="1"/>
  <c r="B254" i="1"/>
  <c r="B262" i="1"/>
  <c r="B286" i="1"/>
  <c r="B256" i="1"/>
  <c r="B264" i="1"/>
  <c r="B287" i="1"/>
  <c r="B255" i="1"/>
  <c r="B263" i="1"/>
  <c r="B271" i="1"/>
  <c r="B272" i="1"/>
  <c r="B279" i="1"/>
  <c r="B280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48" i="1"/>
  <c r="H265" i="1"/>
  <c r="H270" i="1"/>
  <c r="H253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L54" i="1"/>
  <c r="Q55" i="1" s="1"/>
  <c r="R71" i="1"/>
  <c r="D106" i="1" s="1"/>
  <c r="E106" i="1"/>
  <c r="F106" i="1" s="1"/>
  <c r="D19" i="2" s="1"/>
  <c r="R53" i="1"/>
  <c r="D103" i="1" s="1"/>
  <c r="E103" i="1"/>
  <c r="F103" i="1" s="1"/>
  <c r="D16" i="2" s="1"/>
  <c r="L53" i="1"/>
  <c r="Q56" i="1" s="1"/>
  <c r="M53" i="1"/>
  <c r="Q57" i="1" s="1"/>
  <c r="L55" i="1"/>
  <c r="Q54" i="1" s="1"/>
  <c r="L73" i="1"/>
  <c r="Q72" i="1" s="1"/>
  <c r="L74" i="1"/>
  <c r="Q71" i="1" s="1"/>
  <c r="L71" i="1"/>
  <c r="Q74" i="1" s="1"/>
  <c r="L66" i="1"/>
  <c r="Q67" i="1" s="1"/>
  <c r="R65" i="1"/>
  <c r="D105" i="1" s="1"/>
  <c r="L72" i="1"/>
  <c r="Q73" i="1" s="1"/>
  <c r="M65" i="1"/>
  <c r="Q69" i="1" s="1"/>
  <c r="L68" i="1"/>
  <c r="Q65" i="1" s="1"/>
  <c r="L67" i="1"/>
  <c r="Q66" i="1" s="1"/>
  <c r="L65" i="1"/>
  <c r="Q68" i="1" s="1"/>
  <c r="H276" i="1" l="1"/>
  <c r="H273" i="1"/>
  <c r="H260" i="1"/>
  <c r="H254" i="1"/>
  <c r="H283" i="1"/>
  <c r="I275" i="1"/>
  <c r="G108" i="1"/>
  <c r="D40" i="1" s="1"/>
  <c r="H21" i="2" s="1"/>
  <c r="H249" i="1"/>
  <c r="H259" i="1"/>
  <c r="H280" i="1"/>
  <c r="I248" i="1"/>
  <c r="H271" i="1"/>
  <c r="M137" i="1" s="1"/>
  <c r="H269" i="1"/>
  <c r="M139" i="1" s="1"/>
  <c r="H251" i="1"/>
  <c r="I264" i="1"/>
  <c r="H248" i="1"/>
  <c r="H262" i="1"/>
  <c r="H266" i="1"/>
  <c r="I263" i="1"/>
  <c r="H252" i="1"/>
  <c r="H261" i="1"/>
  <c r="H285" i="1"/>
  <c r="I257" i="1"/>
  <c r="H286" i="1"/>
  <c r="H268" i="1"/>
  <c r="H258" i="1"/>
  <c r="H250" i="1"/>
  <c r="H279" i="1"/>
  <c r="I273" i="1"/>
  <c r="I255" i="1"/>
  <c r="I256" i="1"/>
  <c r="H284" i="1"/>
  <c r="H267" i="1"/>
  <c r="H257" i="1"/>
  <c r="H287" i="1"/>
  <c r="H277" i="1"/>
  <c r="I272" i="1"/>
  <c r="I249" i="1"/>
  <c r="I286" i="1"/>
  <c r="H281" i="1"/>
  <c r="H264" i="1"/>
  <c r="H256" i="1"/>
  <c r="H282" i="1"/>
  <c r="H274" i="1"/>
  <c r="I271" i="1"/>
  <c r="I285" i="1"/>
  <c r="H278" i="1"/>
  <c r="H263" i="1"/>
  <c r="H255" i="1"/>
  <c r="H275" i="1"/>
  <c r="H272" i="1"/>
  <c r="I265" i="1"/>
  <c r="I282" i="1"/>
  <c r="I287" i="1"/>
  <c r="I270" i="1"/>
  <c r="I262" i="1"/>
  <c r="I254" i="1"/>
  <c r="I280" i="1"/>
  <c r="I283" i="1"/>
  <c r="I269" i="1"/>
  <c r="I261" i="1"/>
  <c r="I253" i="1"/>
  <c r="I277" i="1"/>
  <c r="I278" i="1"/>
  <c r="I268" i="1"/>
  <c r="I260" i="1"/>
  <c r="I252" i="1"/>
  <c r="I284" i="1"/>
  <c r="I276" i="1"/>
  <c r="I267" i="1"/>
  <c r="I259" i="1"/>
  <c r="I251" i="1"/>
  <c r="I281" i="1"/>
  <c r="I274" i="1"/>
  <c r="I266" i="1"/>
  <c r="I258" i="1"/>
  <c r="I250" i="1"/>
  <c r="I279" i="1"/>
  <c r="C40" i="1"/>
  <c r="G179" i="1"/>
  <c r="E20" i="2"/>
  <c r="H179" i="1"/>
  <c r="E21" i="2"/>
  <c r="E179" i="1"/>
  <c r="E18" i="2"/>
  <c r="F179" i="1"/>
  <c r="E19" i="2"/>
  <c r="B179" i="1"/>
  <c r="E15" i="2"/>
  <c r="J179" i="1"/>
  <c r="E23" i="2"/>
  <c r="C41" i="1"/>
  <c r="D22" i="2"/>
  <c r="D179" i="1"/>
  <c r="E17" i="2"/>
  <c r="C179" i="1"/>
  <c r="E16" i="2"/>
  <c r="G102" i="1"/>
  <c r="D34" i="1" s="1"/>
  <c r="H15" i="2" s="1"/>
  <c r="C34" i="1"/>
  <c r="G103" i="1"/>
  <c r="D35" i="1" s="1"/>
  <c r="H16" i="2" s="1"/>
  <c r="C35" i="1"/>
  <c r="G106" i="1"/>
  <c r="D38" i="1" s="1"/>
  <c r="H19" i="2" s="1"/>
  <c r="C38" i="1"/>
  <c r="L138" i="1"/>
  <c r="J138" i="1"/>
  <c r="I138" i="1"/>
  <c r="O138" i="1"/>
  <c r="G138" i="1"/>
  <c r="O136" i="1"/>
  <c r="O140" i="1"/>
  <c r="J140" i="1"/>
  <c r="J136" i="1"/>
  <c r="I139" i="1"/>
  <c r="I137" i="1"/>
  <c r="J139" i="1"/>
  <c r="J137" i="1"/>
  <c r="I140" i="1"/>
  <c r="I136" i="1"/>
  <c r="G136" i="1"/>
  <c r="G140" i="1"/>
  <c r="L141" i="1"/>
  <c r="L135" i="1"/>
  <c r="O135" i="1"/>
  <c r="O141" i="1"/>
  <c r="I141" i="1"/>
  <c r="I135" i="1"/>
  <c r="G135" i="1"/>
  <c r="G141" i="1"/>
  <c r="J141" i="1"/>
  <c r="J135" i="1"/>
  <c r="L137" i="1"/>
  <c r="L139" i="1"/>
  <c r="L140" i="1"/>
  <c r="L136" i="1"/>
  <c r="G137" i="1"/>
  <c r="G139" i="1"/>
  <c r="O137" i="1"/>
  <c r="O139" i="1"/>
  <c r="F255" i="1"/>
  <c r="F258" i="1"/>
  <c r="F260" i="1"/>
  <c r="F261" i="1"/>
  <c r="F263" i="1"/>
  <c r="F264" i="1"/>
  <c r="F266" i="1"/>
  <c r="F267" i="1"/>
  <c r="F268" i="1"/>
  <c r="F270" i="1"/>
  <c r="F271" i="1"/>
  <c r="F272" i="1"/>
  <c r="F274" i="1"/>
  <c r="F275" i="1"/>
  <c r="F277" i="1"/>
  <c r="F278" i="1"/>
  <c r="F280" i="1"/>
  <c r="F282" i="1"/>
  <c r="F283" i="1"/>
  <c r="F285" i="1"/>
  <c r="F286" i="1"/>
  <c r="F249" i="1"/>
  <c r="F250" i="1"/>
  <c r="F251" i="1"/>
  <c r="F252" i="1"/>
  <c r="F253" i="1"/>
  <c r="F254" i="1"/>
  <c r="F256" i="1"/>
  <c r="F257" i="1"/>
  <c r="F259" i="1"/>
  <c r="F262" i="1"/>
  <c r="F265" i="1"/>
  <c r="F269" i="1"/>
  <c r="F273" i="1"/>
  <c r="F276" i="1"/>
  <c r="F279" i="1"/>
  <c r="F281" i="1"/>
  <c r="F284" i="1"/>
  <c r="F287" i="1"/>
  <c r="F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48" i="1"/>
  <c r="N136" i="1" l="1"/>
  <c r="M136" i="1"/>
  <c r="N137" i="1"/>
  <c r="M141" i="1"/>
  <c r="N138" i="1"/>
  <c r="M138" i="1"/>
  <c r="M135" i="1"/>
  <c r="M140" i="1"/>
  <c r="N139" i="1"/>
  <c r="N141" i="1"/>
  <c r="N135" i="1"/>
  <c r="N140" i="1"/>
  <c r="K138" i="1"/>
  <c r="I142" i="1"/>
  <c r="I143" i="1" s="1"/>
  <c r="F17" i="2" s="1"/>
  <c r="K140" i="1"/>
  <c r="K136" i="1"/>
  <c r="K139" i="1"/>
  <c r="K137" i="1"/>
  <c r="H141" i="1"/>
  <c r="H135" i="1"/>
  <c r="K135" i="1"/>
  <c r="K141" i="1"/>
  <c r="H139" i="1"/>
  <c r="H137" i="1"/>
  <c r="H140" i="1"/>
  <c r="H136" i="1"/>
  <c r="H138" i="1"/>
  <c r="L142" i="1"/>
  <c r="L143" i="1" s="1"/>
  <c r="F20" i="2" s="1"/>
  <c r="J142" i="1"/>
  <c r="J143" i="1" s="1"/>
  <c r="F18" i="2" s="1"/>
  <c r="O142" i="1"/>
  <c r="O143" i="1" s="1"/>
  <c r="F23" i="2" s="1"/>
  <c r="G142" i="1"/>
  <c r="G143" i="1" s="1"/>
  <c r="F15" i="2" s="1"/>
  <c r="M142" i="1" l="1"/>
  <c r="M143" i="1" s="1"/>
  <c r="F22" i="2" s="1"/>
  <c r="N142" i="1"/>
  <c r="N143" i="1" s="1"/>
  <c r="I210" i="1" s="1"/>
  <c r="G23" i="2"/>
  <c r="G17" i="2"/>
  <c r="G15" i="2"/>
  <c r="G20" i="2"/>
  <c r="G18" i="2"/>
  <c r="F21" i="2"/>
  <c r="G184" i="1"/>
  <c r="G192" i="1"/>
  <c r="G200" i="1"/>
  <c r="G208" i="1"/>
  <c r="G216" i="1"/>
  <c r="G224" i="1"/>
  <c r="G185" i="1"/>
  <c r="G193" i="1"/>
  <c r="G201" i="1"/>
  <c r="G209" i="1"/>
  <c r="G217" i="1"/>
  <c r="G225" i="1"/>
  <c r="G186" i="1"/>
  <c r="G194" i="1"/>
  <c r="G202" i="1"/>
  <c r="G210" i="1"/>
  <c r="G218" i="1"/>
  <c r="G226" i="1"/>
  <c r="G187" i="1"/>
  <c r="G195" i="1"/>
  <c r="G203" i="1"/>
  <c r="G211" i="1"/>
  <c r="G219" i="1"/>
  <c r="G227" i="1"/>
  <c r="G215" i="1"/>
  <c r="G180" i="1"/>
  <c r="G188" i="1"/>
  <c r="G196" i="1"/>
  <c r="G204" i="1"/>
  <c r="G212" i="1"/>
  <c r="G220" i="1"/>
  <c r="G228" i="1"/>
  <c r="G183" i="1"/>
  <c r="G207" i="1"/>
  <c r="G181" i="1"/>
  <c r="G189" i="1"/>
  <c r="G197" i="1"/>
  <c r="G205" i="1"/>
  <c r="G213" i="1"/>
  <c r="G221" i="1"/>
  <c r="G229" i="1"/>
  <c r="G191" i="1"/>
  <c r="G223" i="1"/>
  <c r="G182" i="1"/>
  <c r="G190" i="1"/>
  <c r="G198" i="1"/>
  <c r="G206" i="1"/>
  <c r="G214" i="1"/>
  <c r="G222" i="1"/>
  <c r="G199" i="1"/>
  <c r="E184" i="1"/>
  <c r="E192" i="1"/>
  <c r="E200" i="1"/>
  <c r="E208" i="1"/>
  <c r="E216" i="1"/>
  <c r="E224" i="1"/>
  <c r="E185" i="1"/>
  <c r="E193" i="1"/>
  <c r="E201" i="1"/>
  <c r="E209" i="1"/>
  <c r="E217" i="1"/>
  <c r="E225" i="1"/>
  <c r="E186" i="1"/>
  <c r="E194" i="1"/>
  <c r="E202" i="1"/>
  <c r="E210" i="1"/>
  <c r="E218" i="1"/>
  <c r="E226" i="1"/>
  <c r="E187" i="1"/>
  <c r="E195" i="1"/>
  <c r="E203" i="1"/>
  <c r="E211" i="1"/>
  <c r="E219" i="1"/>
  <c r="E227" i="1"/>
  <c r="E191" i="1"/>
  <c r="E207" i="1"/>
  <c r="E180" i="1"/>
  <c r="E188" i="1"/>
  <c r="E196" i="1"/>
  <c r="E204" i="1"/>
  <c r="E212" i="1"/>
  <c r="E220" i="1"/>
  <c r="E228" i="1"/>
  <c r="E199" i="1"/>
  <c r="E181" i="1"/>
  <c r="E189" i="1"/>
  <c r="E197" i="1"/>
  <c r="E205" i="1"/>
  <c r="E213" i="1"/>
  <c r="E221" i="1"/>
  <c r="E229" i="1"/>
  <c r="E183" i="1"/>
  <c r="E215" i="1"/>
  <c r="E182" i="1"/>
  <c r="E190" i="1"/>
  <c r="E198" i="1"/>
  <c r="E206" i="1"/>
  <c r="E214" i="1"/>
  <c r="E222" i="1"/>
  <c r="E223" i="1"/>
  <c r="H225" i="1"/>
  <c r="H210" i="1"/>
  <c r="H209" i="1"/>
  <c r="H187" i="1"/>
  <c r="H212" i="1"/>
  <c r="H180" i="1"/>
  <c r="H188" i="1"/>
  <c r="H196" i="1"/>
  <c r="H218" i="1"/>
  <c r="H220" i="1"/>
  <c r="H215" i="1"/>
  <c r="H181" i="1"/>
  <c r="H189" i="1"/>
  <c r="H197" i="1"/>
  <c r="H227" i="1"/>
  <c r="H223" i="1"/>
  <c r="H217" i="1"/>
  <c r="H182" i="1"/>
  <c r="H190" i="1"/>
  <c r="H198" i="1"/>
  <c r="H186" i="1"/>
  <c r="H203" i="1"/>
  <c r="H226" i="1"/>
  <c r="H221" i="1"/>
  <c r="H183" i="1"/>
  <c r="H191" i="1"/>
  <c r="H199" i="1"/>
  <c r="H219" i="1"/>
  <c r="H228" i="1"/>
  <c r="H207" i="1"/>
  <c r="H229" i="1"/>
  <c r="H222" i="1"/>
  <c r="H184" i="1"/>
  <c r="H192" i="1"/>
  <c r="H200" i="1"/>
  <c r="H208" i="1"/>
  <c r="H194" i="1"/>
  <c r="H205" i="1"/>
  <c r="H211" i="1"/>
  <c r="H204" i="1"/>
  <c r="H224" i="1"/>
  <c r="H185" i="1"/>
  <c r="H193" i="1"/>
  <c r="H201" i="1"/>
  <c r="H213" i="1"/>
  <c r="H202" i="1"/>
  <c r="I221" i="1"/>
  <c r="I204" i="1"/>
  <c r="I209" i="1"/>
  <c r="I184" i="1"/>
  <c r="I185" i="1"/>
  <c r="I208" i="1"/>
  <c r="I214" i="1"/>
  <c r="I192" i="1"/>
  <c r="I197" i="1"/>
  <c r="I217" i="1"/>
  <c r="I194" i="1"/>
  <c r="I180" i="1"/>
  <c r="I198" i="1"/>
  <c r="I220" i="1"/>
  <c r="I199" i="1"/>
  <c r="I183" i="1"/>
  <c r="I188" i="1"/>
  <c r="I226" i="1"/>
  <c r="I189" i="1"/>
  <c r="I193" i="1"/>
  <c r="I219" i="1"/>
  <c r="I207" i="1"/>
  <c r="I202" i="1"/>
  <c r="I201" i="1"/>
  <c r="I206" i="1"/>
  <c r="I181" i="1"/>
  <c r="I216" i="1"/>
  <c r="B229" i="1"/>
  <c r="B222" i="1"/>
  <c r="B207" i="1"/>
  <c r="B216" i="1"/>
  <c r="B201" i="1"/>
  <c r="B212" i="1"/>
  <c r="B186" i="1"/>
  <c r="B180" i="1"/>
  <c r="B215" i="1"/>
  <c r="B224" i="1"/>
  <c r="B209" i="1"/>
  <c r="B220" i="1"/>
  <c r="B181" i="1"/>
  <c r="B211" i="1"/>
  <c r="B210" i="1"/>
  <c r="B223" i="1"/>
  <c r="B194" i="1"/>
  <c r="B217" i="1"/>
  <c r="B228" i="1"/>
  <c r="B189" i="1"/>
  <c r="B182" i="1"/>
  <c r="B203" i="1"/>
  <c r="B202" i="1"/>
  <c r="B226" i="1"/>
  <c r="B225" i="1"/>
  <c r="B188" i="1"/>
  <c r="B204" i="1"/>
  <c r="B197" i="1"/>
  <c r="B190" i="1"/>
  <c r="B227" i="1"/>
  <c r="B184" i="1"/>
  <c r="B195" i="1"/>
  <c r="B218" i="1"/>
  <c r="B199" i="1"/>
  <c r="B205" i="1"/>
  <c r="B198" i="1"/>
  <c r="B183" i="1"/>
  <c r="B192" i="1"/>
  <c r="B219" i="1"/>
  <c r="B187" i="1"/>
  <c r="B214" i="1"/>
  <c r="B193" i="1"/>
  <c r="B213" i="1"/>
  <c r="B206" i="1"/>
  <c r="B191" i="1"/>
  <c r="B200" i="1"/>
  <c r="B185" i="1"/>
  <c r="B196" i="1"/>
  <c r="B221" i="1"/>
  <c r="B208" i="1"/>
  <c r="J181" i="1"/>
  <c r="J183" i="1"/>
  <c r="J192" i="1"/>
  <c r="J217" i="1"/>
  <c r="J187" i="1"/>
  <c r="J204" i="1"/>
  <c r="J229" i="1"/>
  <c r="J180" i="1"/>
  <c r="J191" i="1"/>
  <c r="J200" i="1"/>
  <c r="J225" i="1"/>
  <c r="J195" i="1"/>
  <c r="J212" i="1"/>
  <c r="J205" i="1"/>
  <c r="J182" i="1"/>
  <c r="J199" i="1"/>
  <c r="J208" i="1"/>
  <c r="J186" i="1"/>
  <c r="J203" i="1"/>
  <c r="J220" i="1"/>
  <c r="J190" i="1"/>
  <c r="J207" i="1"/>
  <c r="J224" i="1"/>
  <c r="J194" i="1"/>
  <c r="J211" i="1"/>
  <c r="J228" i="1"/>
  <c r="J184" i="1"/>
  <c r="J198" i="1"/>
  <c r="J215" i="1"/>
  <c r="J185" i="1"/>
  <c r="J202" i="1"/>
  <c r="J219" i="1"/>
  <c r="J189" i="1"/>
  <c r="J222" i="1"/>
  <c r="J206" i="1"/>
  <c r="J223" i="1"/>
  <c r="J193" i="1"/>
  <c r="J210" i="1"/>
  <c r="J227" i="1"/>
  <c r="J197" i="1"/>
  <c r="J209" i="1"/>
  <c r="J214" i="1"/>
  <c r="J216" i="1"/>
  <c r="J201" i="1"/>
  <c r="J218" i="1"/>
  <c r="J188" i="1"/>
  <c r="J213" i="1"/>
  <c r="J226" i="1"/>
  <c r="J196" i="1"/>
  <c r="J221" i="1"/>
  <c r="I147" i="1"/>
  <c r="D180" i="1"/>
  <c r="D188" i="1"/>
  <c r="D196" i="1"/>
  <c r="D204" i="1"/>
  <c r="D212" i="1"/>
  <c r="D220" i="1"/>
  <c r="D228" i="1"/>
  <c r="D181" i="1"/>
  <c r="D189" i="1"/>
  <c r="D197" i="1"/>
  <c r="D205" i="1"/>
  <c r="D213" i="1"/>
  <c r="D221" i="1"/>
  <c r="D229" i="1"/>
  <c r="D182" i="1"/>
  <c r="D190" i="1"/>
  <c r="D198" i="1"/>
  <c r="D206" i="1"/>
  <c r="D214" i="1"/>
  <c r="D222" i="1"/>
  <c r="D183" i="1"/>
  <c r="D191" i="1"/>
  <c r="D199" i="1"/>
  <c r="D207" i="1"/>
  <c r="D215" i="1"/>
  <c r="D223" i="1"/>
  <c r="D195" i="1"/>
  <c r="D219" i="1"/>
  <c r="D184" i="1"/>
  <c r="D192" i="1"/>
  <c r="D200" i="1"/>
  <c r="D208" i="1"/>
  <c r="D216" i="1"/>
  <c r="D224" i="1"/>
  <c r="D187" i="1"/>
  <c r="D211" i="1"/>
  <c r="D185" i="1"/>
  <c r="D193" i="1"/>
  <c r="D201" i="1"/>
  <c r="D209" i="1"/>
  <c r="D217" i="1"/>
  <c r="D225" i="1"/>
  <c r="D203" i="1"/>
  <c r="D227" i="1"/>
  <c r="D186" i="1"/>
  <c r="D194" i="1"/>
  <c r="D202" i="1"/>
  <c r="D210" i="1"/>
  <c r="D218" i="1"/>
  <c r="D226" i="1"/>
  <c r="I146" i="1"/>
  <c r="L146" i="1"/>
  <c r="L147" i="1"/>
  <c r="M147" i="1"/>
  <c r="M146" i="1"/>
  <c r="N146" i="1"/>
  <c r="G146" i="1"/>
  <c r="G147" i="1"/>
  <c r="O146" i="1"/>
  <c r="O147" i="1"/>
  <c r="J147" i="1"/>
  <c r="J146" i="1"/>
  <c r="K142" i="1"/>
  <c r="K143" i="1" s="1"/>
  <c r="F19" i="2" s="1"/>
  <c r="H142" i="1"/>
  <c r="H143" i="1" s="1"/>
  <c r="F16" i="2" s="1"/>
  <c r="N147" i="1" l="1"/>
  <c r="I224" i="1"/>
  <c r="I203" i="1"/>
  <c r="I215" i="1"/>
  <c r="I212" i="1"/>
  <c r="I186" i="1"/>
  <c r="I196" i="1"/>
  <c r="I218" i="1"/>
  <c r="I228" i="1"/>
  <c r="I225" i="1"/>
  <c r="H214" i="1"/>
  <c r="H216" i="1"/>
  <c r="H206" i="1"/>
  <c r="H195" i="1"/>
  <c r="I205" i="1"/>
  <c r="I211" i="1"/>
  <c r="I223" i="1"/>
  <c r="I191" i="1"/>
  <c r="I187" i="1"/>
  <c r="I190" i="1"/>
  <c r="I200" i="1"/>
  <c r="I229" i="1"/>
  <c r="I195" i="1"/>
  <c r="I222" i="1"/>
  <c r="I227" i="1"/>
  <c r="I213" i="1"/>
  <c r="I182" i="1"/>
  <c r="G21" i="2"/>
  <c r="G22" i="2"/>
  <c r="G19" i="2"/>
  <c r="G16" i="2"/>
  <c r="C186" i="1"/>
  <c r="C194" i="1"/>
  <c r="C202" i="1"/>
  <c r="C210" i="1"/>
  <c r="C218" i="1"/>
  <c r="C226" i="1"/>
  <c r="C187" i="1"/>
  <c r="C195" i="1"/>
  <c r="C203" i="1"/>
  <c r="C211" i="1"/>
  <c r="C219" i="1"/>
  <c r="C227" i="1"/>
  <c r="C180" i="1"/>
  <c r="C188" i="1"/>
  <c r="C196" i="1"/>
  <c r="C204" i="1"/>
  <c r="C212" i="1"/>
  <c r="C220" i="1"/>
  <c r="C228" i="1"/>
  <c r="C181" i="1"/>
  <c r="C189" i="1"/>
  <c r="C197" i="1"/>
  <c r="C205" i="1"/>
  <c r="C213" i="1"/>
  <c r="C221" i="1"/>
  <c r="C229" i="1"/>
  <c r="C193" i="1"/>
  <c r="C225" i="1"/>
  <c r="C182" i="1"/>
  <c r="C190" i="1"/>
  <c r="C198" i="1"/>
  <c r="C206" i="1"/>
  <c r="C214" i="1"/>
  <c r="C222" i="1"/>
  <c r="C185" i="1"/>
  <c r="C217" i="1"/>
  <c r="C183" i="1"/>
  <c r="C191" i="1"/>
  <c r="C199" i="1"/>
  <c r="C207" i="1"/>
  <c r="C215" i="1"/>
  <c r="C223" i="1"/>
  <c r="C209" i="1"/>
  <c r="C184" i="1"/>
  <c r="C192" i="1"/>
  <c r="C200" i="1"/>
  <c r="C208" i="1"/>
  <c r="C216" i="1"/>
  <c r="C224" i="1"/>
  <c r="C201" i="1"/>
  <c r="F182" i="1"/>
  <c r="F190" i="1"/>
  <c r="F198" i="1"/>
  <c r="F206" i="1"/>
  <c r="F214" i="1"/>
  <c r="F222" i="1"/>
  <c r="F183" i="1"/>
  <c r="F191" i="1"/>
  <c r="F199" i="1"/>
  <c r="F207" i="1"/>
  <c r="F215" i="1"/>
  <c r="F223" i="1"/>
  <c r="F184" i="1"/>
  <c r="F192" i="1"/>
  <c r="F200" i="1"/>
  <c r="F208" i="1"/>
  <c r="F216" i="1"/>
  <c r="F224" i="1"/>
  <c r="F185" i="1"/>
  <c r="F193" i="1"/>
  <c r="F201" i="1"/>
  <c r="F209" i="1"/>
  <c r="F217" i="1"/>
  <c r="F225" i="1"/>
  <c r="F189" i="1"/>
  <c r="F213" i="1"/>
  <c r="F186" i="1"/>
  <c r="F194" i="1"/>
  <c r="F202" i="1"/>
  <c r="F210" i="1"/>
  <c r="F218" i="1"/>
  <c r="F226" i="1"/>
  <c r="F181" i="1"/>
  <c r="F205" i="1"/>
  <c r="F229" i="1"/>
  <c r="F187" i="1"/>
  <c r="F195" i="1"/>
  <c r="F203" i="1"/>
  <c r="F211" i="1"/>
  <c r="F219" i="1"/>
  <c r="F227" i="1"/>
  <c r="F197" i="1"/>
  <c r="F221" i="1"/>
  <c r="F180" i="1"/>
  <c r="F188" i="1"/>
  <c r="F196" i="1"/>
  <c r="F204" i="1"/>
  <c r="F212" i="1"/>
  <c r="F220" i="1"/>
  <c r="F228" i="1"/>
  <c r="H147" i="1"/>
  <c r="H146" i="1"/>
  <c r="K147" i="1"/>
  <c r="K146" i="1"/>
  <c r="A16" i="2" l="1"/>
  <c r="A21" i="2"/>
  <c r="A23" i="2"/>
  <c r="A18" i="2"/>
  <c r="A19" i="2"/>
  <c r="A17" i="2"/>
  <c r="A15" i="2"/>
  <c r="A22" i="2"/>
  <c r="A20" i="2"/>
  <c r="C30" i="2" l="1"/>
  <c r="C29" i="2"/>
  <c r="B54" i="2"/>
  <c r="D30" i="2"/>
  <c r="D29" i="2"/>
  <c r="B46" i="2"/>
  <c r="B30" i="2"/>
  <c r="B29" i="2"/>
  <c r="B47" i="2" l="1"/>
  <c r="F46" i="2"/>
  <c r="G49" i="2"/>
  <c r="K49" i="2" s="1"/>
  <c r="G53" i="2"/>
  <c r="K53" i="2" s="1"/>
  <c r="G50" i="2"/>
  <c r="K50" i="2" s="1"/>
  <c r="G46" i="2"/>
  <c r="K46" i="2" s="1"/>
  <c r="G51" i="2"/>
  <c r="K51" i="2" s="1"/>
  <c r="G52" i="2"/>
  <c r="K52" i="2" s="1"/>
  <c r="G47" i="2"/>
  <c r="K47" i="2" s="1"/>
  <c r="G48" i="2"/>
  <c r="K48" i="2" s="1"/>
  <c r="G57" i="2"/>
  <c r="K57" i="2" s="1"/>
  <c r="G61" i="2"/>
  <c r="K61" i="2" s="1"/>
  <c r="G58" i="2"/>
  <c r="K58" i="2" s="1"/>
  <c r="G59" i="2"/>
  <c r="K59" i="2" s="1"/>
  <c r="G54" i="2"/>
  <c r="K54" i="2" s="1"/>
  <c r="G60" i="2"/>
  <c r="K60" i="2" s="1"/>
  <c r="G55" i="2"/>
  <c r="K55" i="2" s="1"/>
  <c r="G56" i="2"/>
  <c r="K56" i="2" s="1"/>
  <c r="B55" i="2"/>
  <c r="F54" i="2"/>
  <c r="B56" i="2" l="1"/>
  <c r="F55" i="2"/>
  <c r="B74" i="2" s="1"/>
  <c r="B65" i="2"/>
  <c r="B73" i="2"/>
  <c r="B48" i="2"/>
  <c r="F47" i="2"/>
  <c r="B66" i="2" s="1"/>
  <c r="B49" i="2" l="1"/>
  <c r="F48" i="2"/>
  <c r="B67" i="2" s="1"/>
  <c r="B57" i="2"/>
  <c r="F56" i="2"/>
  <c r="B75" i="2" s="1"/>
  <c r="B58" i="2" l="1"/>
  <c r="F57" i="2"/>
  <c r="B76" i="2" s="1"/>
  <c r="B50" i="2"/>
  <c r="F49" i="2"/>
  <c r="B68" i="2" s="1"/>
  <c r="B51" i="2" l="1"/>
  <c r="F50" i="2"/>
  <c r="B69" i="2" s="1"/>
  <c r="B59" i="2"/>
  <c r="F58" i="2"/>
  <c r="B77" i="2" s="1"/>
  <c r="B60" i="2" l="1"/>
  <c r="F59" i="2"/>
  <c r="B78" i="2" s="1"/>
  <c r="B52" i="2"/>
  <c r="F51" i="2"/>
  <c r="B70" i="2" s="1"/>
  <c r="B53" i="2" l="1"/>
  <c r="F53" i="2" s="1"/>
  <c r="B72" i="2" s="1"/>
  <c r="F52" i="2"/>
  <c r="B71" i="2" s="1"/>
  <c r="B61" i="2"/>
  <c r="F61" i="2" s="1"/>
  <c r="B80" i="2" s="1"/>
  <c r="F60" i="2"/>
  <c r="B79" i="2" s="1"/>
</calcChain>
</file>

<file path=xl/sharedStrings.xml><?xml version="1.0" encoding="utf-8"?>
<sst xmlns="http://schemas.openxmlformats.org/spreadsheetml/2006/main" count="255" uniqueCount="171">
  <si>
    <t>Kierunek przepływu ciepła</t>
  </si>
  <si>
    <t>poziomy</t>
  </si>
  <si>
    <t>pionowy w górę</t>
  </si>
  <si>
    <t>pionowy w dół</t>
  </si>
  <si>
    <t>Rsi</t>
  </si>
  <si>
    <t>Rse</t>
  </si>
  <si>
    <t>Opory przejmowania ciepła [(m^2*K)/W]</t>
  </si>
  <si>
    <t>Numer warstwy</t>
  </si>
  <si>
    <r>
      <rPr>
        <b/>
        <sz val="11"/>
        <color rgb="FFFF0000"/>
        <rFont val="Calibri"/>
        <family val="2"/>
        <charset val="238"/>
      </rPr>
      <t>λ</t>
    </r>
    <r>
      <rPr>
        <b/>
        <sz val="11"/>
        <color rgb="FFFF0000"/>
        <rFont val="Calibri"/>
        <family val="2"/>
        <charset val="238"/>
        <scheme val="minor"/>
      </rPr>
      <t xml:space="preserve"> [W/m*k]</t>
    </r>
  </si>
  <si>
    <t>Ciepło własciwe [kJ/kg*K] (potrzebne w przypadku liczenia akumulacji ciepła)</t>
  </si>
  <si>
    <t>Gęstość [kg/m^3]  (potrzebne w przypadku liczenia akumulacji ciepła)</t>
  </si>
  <si>
    <t>Zmiana wartości strumienia przenikania ciepła w przypadku zmiany temperatury zewnętrznej</t>
  </si>
  <si>
    <t>Temperatura na powierzchni każdej warstwy  [⁰C]</t>
  </si>
  <si>
    <t>Suma oporów cieplnych (Rt) (włącznie z Rsi oraz Rse)  [(m^2·K)/W]:</t>
  </si>
  <si>
    <t>Średnia temperatura w okresie grzewczym (Te) [⁰C]</t>
  </si>
  <si>
    <t>Rodzaj izolacji</t>
  </si>
  <si>
    <t>Wariant 1</t>
  </si>
  <si>
    <t>Wariant 2</t>
  </si>
  <si>
    <t>Wariant 3</t>
  </si>
  <si>
    <t>Styropian</t>
  </si>
  <si>
    <t>Grubość</t>
  </si>
  <si>
    <t>Rodzaj materiału konstrukcyjnego</t>
  </si>
  <si>
    <t>Pustak ceramiczny</t>
  </si>
  <si>
    <t>Beton komórkowy</t>
  </si>
  <si>
    <t>Bloczki silikatowe</t>
  </si>
  <si>
    <t>Koszt za m^3</t>
  </si>
  <si>
    <t>Koszt za m^2 przy zadanej grubości</t>
  </si>
  <si>
    <t>Grubość (cm)</t>
  </si>
  <si>
    <t>Koszt za jedną sztukę</t>
  </si>
  <si>
    <t>Zużycie materiału na 1 m^2</t>
  </si>
  <si>
    <t>Koszt za m^2 danego materiału konstrukcyjnego</t>
  </si>
  <si>
    <t>Wariant 4</t>
  </si>
  <si>
    <t>Wariant 5</t>
  </si>
  <si>
    <t>Wariant 6</t>
  </si>
  <si>
    <t>Wariant 7</t>
  </si>
  <si>
    <t>Wariant 8</t>
  </si>
  <si>
    <t>Wariant 9</t>
  </si>
  <si>
    <t>Koszt ściany</t>
  </si>
  <si>
    <t>Koszt 1 m^2 ściany</t>
  </si>
  <si>
    <t>Materiał od strony zewnętrznej</t>
  </si>
  <si>
    <t>Materiał od strony wewnętrznej</t>
  </si>
  <si>
    <t>`</t>
  </si>
  <si>
    <t>Tynk zewnętrzny</t>
  </si>
  <si>
    <t>Tynk wewnętrzny</t>
  </si>
  <si>
    <t>Opór cieplny warstwy (Rx)  [(m^2·K)/W]</t>
  </si>
  <si>
    <t>Temperatura na ściance zewnętrznej</t>
  </si>
  <si>
    <t>Porównanie</t>
  </si>
  <si>
    <t>WARIANT 1</t>
  </si>
  <si>
    <t>WARIANT 2</t>
  </si>
  <si>
    <t>WARIANT 3</t>
  </si>
  <si>
    <t>WARIANT 4</t>
  </si>
  <si>
    <t>WARIANT 5</t>
  </si>
  <si>
    <t>WARIANT 6</t>
  </si>
  <si>
    <t>WARIANT 7</t>
  </si>
  <si>
    <t>WARIANT 8</t>
  </si>
  <si>
    <t>WARIANT 9</t>
  </si>
  <si>
    <t>Koszt całej ściany</t>
  </si>
  <si>
    <t>Opór cieplny całkowity przegrody [(m^2·K)/W]</t>
  </si>
  <si>
    <t>Temperatura</t>
  </si>
  <si>
    <t>Gęstość strumienia ciepła [W/m^2]</t>
  </si>
  <si>
    <t>POGODA</t>
  </si>
  <si>
    <t>Styczeń</t>
  </si>
  <si>
    <t>Luty</t>
  </si>
  <si>
    <t>Marzec</t>
  </si>
  <si>
    <t>Październik</t>
  </si>
  <si>
    <t>Listopad</t>
  </si>
  <si>
    <t>Grudzień</t>
  </si>
  <si>
    <t>Kwiecień</t>
  </si>
  <si>
    <t>Liczba godzin (dzień)</t>
  </si>
  <si>
    <t>Liczba godzin (noc)</t>
  </si>
  <si>
    <t>Łączne straty ciepła podczas sezonu grzewczego [kWh]:</t>
  </si>
  <si>
    <t>Liczba dni miesiąca</t>
  </si>
  <si>
    <t>Koszt 1 kWh energii (zł)</t>
  </si>
  <si>
    <t>Strata ciepła (zł)</t>
  </si>
  <si>
    <t>Liczba lat</t>
  </si>
  <si>
    <t>Rok</t>
  </si>
  <si>
    <t>Całkowite koszty (materiał i ogrzewanie) przez zadaną liczbę lat</t>
  </si>
  <si>
    <t>U</t>
  </si>
  <si>
    <t>Cena okien</t>
  </si>
  <si>
    <t>Grubość styropianu</t>
  </si>
  <si>
    <t>Grubość wełny (cm)</t>
  </si>
  <si>
    <t>Straty ciepła przez ściany [W]</t>
  </si>
  <si>
    <t>U=</t>
  </si>
  <si>
    <t>Obwód ścian zewnętrznych [m]</t>
  </si>
  <si>
    <t>Grubość ekwiwalentna podłogi</t>
  </si>
  <si>
    <t>R</t>
  </si>
  <si>
    <t>Panele podłogowe</t>
  </si>
  <si>
    <t>Posadzka betonowa</t>
  </si>
  <si>
    <t>Beton podkładowy</t>
  </si>
  <si>
    <t xml:space="preserve">Ubity grunt (podsypka piaskowa) </t>
  </si>
  <si>
    <t>Wymiar charakterystyczny podłogi (w)</t>
  </si>
  <si>
    <t>[W/m^2*k]</t>
  </si>
  <si>
    <t>Powierzchnia okien i drzwi (m^2)</t>
  </si>
  <si>
    <t>Powierzchnia podłogi (m^2)</t>
  </si>
  <si>
    <t>Powierzchnia izolacji dachu (m^2)</t>
  </si>
  <si>
    <t>Straty ciepła przez okna [W]</t>
  </si>
  <si>
    <t>Średnioroczna temperatura gruntu [C]</t>
  </si>
  <si>
    <t>U ściany</t>
  </si>
  <si>
    <t>U podłogi</t>
  </si>
  <si>
    <t>Roczne straty energii przez ściany (zł)</t>
  </si>
  <si>
    <r>
      <t>Oczekiwana temperatura wewnątrz pomieszczeń [</t>
    </r>
    <r>
      <rPr>
        <sz val="10"/>
        <color theme="1"/>
        <rFont val="Calibri"/>
        <family val="2"/>
      </rPr>
      <t xml:space="preserve">⁰C], (Ti, </t>
    </r>
    <r>
      <rPr>
        <b/>
        <u/>
        <sz val="10"/>
        <color rgb="FFFF0000"/>
        <rFont val="Calibri"/>
        <family val="2"/>
      </rPr>
      <t>Ti&gt;Te</t>
    </r>
    <r>
      <rPr>
        <sz val="10"/>
        <color theme="1"/>
        <rFont val="Calibri"/>
        <family val="2"/>
      </rPr>
      <t>)</t>
    </r>
  </si>
  <si>
    <t>Określ analizowany okres</t>
  </si>
  <si>
    <t>lat</t>
  </si>
  <si>
    <t>Analizowane ściany</t>
  </si>
  <si>
    <t>SYMULACJA OBEJMUJĄCA 2 NAJBARDZIEJ EKONOMICZNE WARIANTY ŚCIAN, OKIEN, PODŁÓG I IZOLACJI DACHU</t>
  </si>
  <si>
    <t>Analizowane okna</t>
  </si>
  <si>
    <t>Analizowane podłogi</t>
  </si>
  <si>
    <t>Współczynnik U podłogi 1 na gruncie</t>
  </si>
  <si>
    <t>Współczynnik U podłogi 2 na gruncie</t>
  </si>
  <si>
    <t>Układ warstw podłogi 2 na gruncie </t>
  </si>
  <si>
    <t>Straty ciepła przez podłogę 1 [W]</t>
  </si>
  <si>
    <t>Straty ciepła przez podłogę 2 [W]</t>
  </si>
  <si>
    <t>Analizowana izolacja dachu</t>
  </si>
  <si>
    <t>U izolacji</t>
  </si>
  <si>
    <t>Podłoga - wariant 1</t>
  </si>
  <si>
    <t>Podłoga - wariant 2</t>
  </si>
  <si>
    <t>Dach - wariant 1</t>
  </si>
  <si>
    <t>Dach - wariant 2</t>
  </si>
  <si>
    <t>Cena 1 m^3 styropianu</t>
  </si>
  <si>
    <t>Cena 1 m^3 wełny</t>
  </si>
  <si>
    <t>Cena ściany</t>
  </si>
  <si>
    <t>Straty energii</t>
  </si>
  <si>
    <t>Ściana 1</t>
  </si>
  <si>
    <t>Ściana 2</t>
  </si>
  <si>
    <t>SYMULACJA</t>
  </si>
  <si>
    <t>Ściany</t>
  </si>
  <si>
    <t>Koszt materiału na ściany + straty energii przez x lat</t>
  </si>
  <si>
    <t>Straty ciepła przez dach 1  [W]</t>
  </si>
  <si>
    <t>Straty ciepła przez dach 2  [W]</t>
  </si>
  <si>
    <t>Dach</t>
  </si>
  <si>
    <t>Okna</t>
  </si>
  <si>
    <t>Współczynnik U</t>
  </si>
  <si>
    <t>Okna - wariant 1</t>
  </si>
  <si>
    <t>Okna - wariant 2</t>
  </si>
  <si>
    <t>Ściana 1, Okna 1, Podłoga 1, Dach 1</t>
  </si>
  <si>
    <t>Ściana 2, Okna 2, Podłoga 2, Dach 2</t>
  </si>
  <si>
    <t>Ściana 1, Okna 1, Podłoga 1, Dach 2</t>
  </si>
  <si>
    <t>Podłoga</t>
  </si>
  <si>
    <t>Ściana 1, Okna 1, Podłoga 2, Dach 1</t>
  </si>
  <si>
    <t>Ściana 1, Okna 1, Podłoga 2, Dach 2</t>
  </si>
  <si>
    <t>Ściana 1, Okna 2, Podłoga 1, Dach 1</t>
  </si>
  <si>
    <t>Ściana 1, Okna 2, Podłoga 1, Dach 2</t>
  </si>
  <si>
    <t>Ściana 1, Okna 2, Podłoga 2, Dach 1</t>
  </si>
  <si>
    <t>Ściana 1, Okna 2, Podłoga 2, Dach 2</t>
  </si>
  <si>
    <t>Ściana 2, Okna 1, Podłoga 1, Dach 1</t>
  </si>
  <si>
    <t>Ściana 2, Okna 1, Podłoga 1, Dach 2</t>
  </si>
  <si>
    <t>Ściana 2, Okna 1, Podłoga 2, Dach 1</t>
  </si>
  <si>
    <t>Ściana 2, Okna 1, Podłoga 2, Dach 2</t>
  </si>
  <si>
    <t>Ściana 2, Okna 2, Podłoga 1, Dach 1</t>
  </si>
  <si>
    <t>Ściana 2, Okna 2, Podłoga 1, Dach 2</t>
  </si>
  <si>
    <t>Ściana 2, Okna 2, Podłoga 2, Dach 1</t>
  </si>
  <si>
    <t>Całkowite straty energii</t>
  </si>
  <si>
    <t>Koszt materiałów</t>
  </si>
  <si>
    <t xml:space="preserve">Całkowita cena wełny </t>
  </si>
  <si>
    <t xml:space="preserve">Całkowita cena styropianu </t>
  </si>
  <si>
    <t>Całkowity koszt materiałów</t>
  </si>
  <si>
    <t xml:space="preserve"> </t>
  </si>
  <si>
    <t>Rodzaj ściany</t>
  </si>
  <si>
    <t>Średnia temperatura w dzień</t>
  </si>
  <si>
    <t>Średnia temperatura w nocy</t>
  </si>
  <si>
    <t>Autor: Sławek Zając</t>
  </si>
  <si>
    <t>https://blog.poradnik-budowlany.com/</t>
  </si>
  <si>
    <t>(m)</t>
  </si>
  <si>
    <t>Powierzchnia ścian zewnętrznych (bez okien i drzwi) [m^2]:</t>
  </si>
  <si>
    <t>Współczynnik U izolacji dachu (wariant 1)</t>
  </si>
  <si>
    <t>Współczynnik U izolacji dachu (wariant 2)</t>
  </si>
  <si>
    <t>Współczynnik U okien (wariant 1)</t>
  </si>
  <si>
    <t>Współczynnik U okien (wariant 2)</t>
  </si>
  <si>
    <t>Układ warstw podłogi na gruncie (wariant 1)</t>
  </si>
  <si>
    <t>Współczynnik U podłogi na gruncie (wariant 1)</t>
  </si>
  <si>
    <t>Współczynnik U podłogi na gruncie (wariant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</si>
</sst>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  <numFmt numFmtId="165" formatCode="#,##0.00\ &quot;zł&quot;"/>
    <numFmt numFmtId="166" formatCode="#,##0\ &quot;zł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5.95"/>
      <color theme="1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Roboto"/>
    </font>
    <font>
      <sz val="10"/>
      <name val="Arial CE"/>
      <charset val="238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4" fillId="0" borderId="0"/>
  </cellStyleXfs>
  <cellXfs count="20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3" xfId="0" applyBorder="1"/>
    <xf numFmtId="0" fontId="1" fillId="2" borderId="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5" fontId="0" fillId="0" borderId="35" xfId="0" applyNumberFormat="1" applyBorder="1"/>
    <xf numFmtId="0" fontId="2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0" fillId="0" borderId="38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23" xfId="0" applyBorder="1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/>
    <xf numFmtId="165" fontId="1" fillId="0" borderId="18" xfId="0" applyNumberFormat="1" applyFont="1" applyBorder="1" applyAlignment="1">
      <alignment horizontal="center" vertical="center" wrapText="1"/>
    </xf>
    <xf numFmtId="165" fontId="0" fillId="0" borderId="18" xfId="0" applyNumberFormat="1" applyBorder="1"/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/>
    <xf numFmtId="0" fontId="0" fillId="0" borderId="47" xfId="0" applyBorder="1" applyAlignment="1">
      <alignment horizontal="center"/>
    </xf>
    <xf numFmtId="164" fontId="0" fillId="0" borderId="47" xfId="0" applyNumberFormat="1" applyBorder="1"/>
    <xf numFmtId="2" fontId="0" fillId="0" borderId="47" xfId="0" applyNumberFormat="1" applyBorder="1" applyAlignment="1">
      <alignment horizontal="left" indent="5"/>
    </xf>
    <xf numFmtId="2" fontId="0" fillId="0" borderId="37" xfId="0" applyNumberFormat="1" applyBorder="1" applyAlignment="1">
      <alignment horizontal="left" indent="5"/>
    </xf>
    <xf numFmtId="0" fontId="0" fillId="0" borderId="22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 applyAlignment="1">
      <alignment horizontal="left" indent="5"/>
    </xf>
    <xf numFmtId="0" fontId="0" fillId="0" borderId="18" xfId="0" applyBorder="1"/>
    <xf numFmtId="0" fontId="0" fillId="0" borderId="24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 wrapText="1"/>
    </xf>
    <xf numFmtId="164" fontId="0" fillId="0" borderId="20" xfId="0" applyNumberFormat="1" applyBorder="1"/>
    <xf numFmtId="0" fontId="0" fillId="0" borderId="20" xfId="0" applyBorder="1" applyAlignment="1">
      <alignment horizontal="left" indent="5"/>
    </xf>
    <xf numFmtId="0" fontId="0" fillId="0" borderId="19" xfId="0" applyBorder="1"/>
    <xf numFmtId="0" fontId="0" fillId="0" borderId="37" xfId="0" applyBorder="1"/>
    <xf numFmtId="165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 wrapText="1"/>
    </xf>
    <xf numFmtId="164" fontId="0" fillId="4" borderId="0" xfId="0" applyNumberFormat="1" applyFill="1" applyBorder="1"/>
    <xf numFmtId="0" fontId="0" fillId="4" borderId="0" xfId="0" applyFill="1" applyBorder="1" applyAlignment="1">
      <alignment horizontal="left" indent="5"/>
    </xf>
    <xf numFmtId="0" fontId="0" fillId="4" borderId="18" xfId="0" applyFill="1" applyBorder="1"/>
    <xf numFmtId="0" fontId="0" fillId="4" borderId="0" xfId="0" applyFill="1"/>
    <xf numFmtId="2" fontId="0" fillId="4" borderId="0" xfId="0" applyNumberFormat="1" applyFill="1"/>
    <xf numFmtId="0" fontId="0" fillId="4" borderId="23" xfId="0" applyFill="1" applyBorder="1"/>
    <xf numFmtId="0" fontId="9" fillId="2" borderId="36" xfId="0" applyFont="1" applyFill="1" applyBorder="1" applyAlignment="1">
      <alignment horizontal="center" vertical="center"/>
    </xf>
    <xf numFmtId="0" fontId="10" fillId="0" borderId="22" xfId="0" applyFont="1" applyBorder="1"/>
    <xf numFmtId="0" fontId="10" fillId="0" borderId="24" xfId="0" applyFont="1" applyBorder="1"/>
    <xf numFmtId="0" fontId="10" fillId="4" borderId="22" xfId="0" applyFont="1" applyFill="1" applyBorder="1"/>
    <xf numFmtId="0" fontId="0" fillId="0" borderId="0" xfId="0" applyAlignment="1">
      <alignment horizontal="center" wrapText="1"/>
    </xf>
    <xf numFmtId="0" fontId="0" fillId="0" borderId="23" xfId="0" applyBorder="1" applyAlignment="1">
      <alignment wrapText="1"/>
    </xf>
    <xf numFmtId="2" fontId="0" fillId="0" borderId="23" xfId="0" applyNumberFormat="1" applyBorder="1"/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/>
    <xf numFmtId="0" fontId="11" fillId="0" borderId="0" xfId="0" applyFont="1"/>
    <xf numFmtId="43" fontId="11" fillId="0" borderId="0" xfId="2" applyFont="1"/>
    <xf numFmtId="0" fontId="1" fillId="0" borderId="0" xfId="0" applyFont="1"/>
    <xf numFmtId="43" fontId="8" fillId="0" borderId="0" xfId="2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3" fontId="12" fillId="0" borderId="0" xfId="2" applyFont="1"/>
    <xf numFmtId="0" fontId="12" fillId="0" borderId="0" xfId="0" applyFont="1"/>
    <xf numFmtId="165" fontId="12" fillId="0" borderId="0" xfId="0" applyNumberFormat="1" applyFont="1"/>
    <xf numFmtId="0" fontId="0" fillId="0" borderId="1" xfId="0" applyBorder="1" applyAlignment="1">
      <alignment wrapText="1"/>
    </xf>
    <xf numFmtId="0" fontId="0" fillId="5" borderId="0" xfId="0" applyFill="1"/>
    <xf numFmtId="16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3" fillId="5" borderId="48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165" fontId="0" fillId="5" borderId="3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165" fontId="0" fillId="5" borderId="39" xfId="0" applyNumberForma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 wrapText="1"/>
    </xf>
    <xf numFmtId="165" fontId="0" fillId="5" borderId="40" xfId="0" applyNumberFormat="1" applyFill="1" applyBorder="1" applyAlignment="1">
      <alignment horizontal="center" vertical="center"/>
    </xf>
    <xf numFmtId="0" fontId="0" fillId="5" borderId="38" xfId="0" applyNumberFormat="1" applyFill="1" applyBorder="1" applyAlignment="1">
      <alignment horizontal="center" vertical="center"/>
    </xf>
    <xf numFmtId="0" fontId="0" fillId="5" borderId="39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vertical="center" wrapText="1"/>
    </xf>
    <xf numFmtId="0" fontId="6" fillId="0" borderId="0" xfId="1" applyAlignment="1" applyProtection="1"/>
    <xf numFmtId="0" fontId="0" fillId="5" borderId="0" xfId="0" applyFill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2" fontId="0" fillId="0" borderId="18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0" borderId="36" xfId="0" applyFont="1" applyBorder="1" applyAlignment="1">
      <alignment horizontal="left" vertical="center" wrapText="1"/>
    </xf>
    <xf numFmtId="0" fontId="0" fillId="5" borderId="47" xfId="0" applyFill="1" applyBorder="1" applyAlignment="1">
      <alignment vertical="center" wrapText="1"/>
    </xf>
    <xf numFmtId="2" fontId="0" fillId="0" borderId="37" xfId="0" applyNumberForma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0" fillId="5" borderId="20" xfId="0" applyFill="1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  <xf numFmtId="43" fontId="11" fillId="0" borderId="21" xfId="2" applyFont="1" applyBorder="1"/>
    <xf numFmtId="43" fontId="11" fillId="0" borderId="25" xfId="2" applyFont="1" applyBorder="1"/>
    <xf numFmtId="1" fontId="3" fillId="5" borderId="48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0" borderId="0" xfId="0" applyFont="1"/>
    <xf numFmtId="165" fontId="0" fillId="0" borderId="19" xfId="0" applyNumberFormat="1" applyBorder="1"/>
    <xf numFmtId="0" fontId="5" fillId="0" borderId="0" xfId="0" applyFont="1"/>
    <xf numFmtId="0" fontId="0" fillId="6" borderId="0" xfId="0" applyFill="1"/>
    <xf numFmtId="1" fontId="0" fillId="6" borderId="0" xfId="0" applyNumberFormat="1" applyFill="1"/>
    <xf numFmtId="165" fontId="0" fillId="5" borderId="0" xfId="0" applyNumberFormat="1" applyFill="1"/>
    <xf numFmtId="0" fontId="20" fillId="0" borderId="36" xfId="0" applyFont="1" applyBorder="1"/>
    <xf numFmtId="0" fontId="2" fillId="0" borderId="47" xfId="0" applyFont="1" applyBorder="1"/>
    <xf numFmtId="0" fontId="0" fillId="0" borderId="2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66" fontId="0" fillId="0" borderId="0" xfId="0" applyNumberFormat="1" applyBorder="1"/>
    <xf numFmtId="166" fontId="0" fillId="0" borderId="20" xfId="0" applyNumberFormat="1" applyBorder="1"/>
    <xf numFmtId="165" fontId="0" fillId="0" borderId="20" xfId="0" applyNumberFormat="1" applyBorder="1"/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21" fillId="5" borderId="0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/>
    </xf>
    <xf numFmtId="1" fontId="3" fillId="5" borderId="2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2" fontId="3" fillId="7" borderId="48" xfId="0" applyNumberFormat="1" applyFont="1" applyFill="1" applyBorder="1" applyAlignment="1">
      <alignment horizontal="center" vertical="center"/>
    </xf>
    <xf numFmtId="44" fontId="0" fillId="0" borderId="0" xfId="0" applyNumberForma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3" fontId="11" fillId="0" borderId="1" xfId="2" applyFont="1" applyBorder="1"/>
    <xf numFmtId="0" fontId="7" fillId="0" borderId="0" xfId="1" applyFont="1" applyAlignment="1" applyProtection="1">
      <alignment wrapText="1"/>
    </xf>
    <xf numFmtId="2" fontId="3" fillId="7" borderId="26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64" fontId="3" fillId="5" borderId="48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 wrapText="1"/>
    </xf>
  </cellXfs>
  <cellStyles count="4">
    <cellStyle name="Dziesiętny" xfId="2" builtinId="3"/>
    <cellStyle name="Hiperłącze" xfId="1" builtinId="8"/>
    <cellStyle name="Normalny" xfId="0" builtinId="0"/>
    <cellStyle name="Normalny 2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Rozkład temperatury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dane'!$O$47:$O$51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26</c:v>
                </c:pt>
                <c:pt idx="3">
                  <c:v>38</c:v>
                </c:pt>
                <c:pt idx="4">
                  <c:v>39</c:v>
                </c:pt>
              </c:numCache>
            </c:numRef>
          </c:xVal>
          <c:yVal>
            <c:numRef>
              <c:f>'Podstawowe dane'!$Q$47:$Q$51</c:f>
              <c:numCache>
                <c:formatCode>0.00</c:formatCode>
                <c:ptCount val="5"/>
                <c:pt idx="0">
                  <c:v>19.450957517977901</c:v>
                </c:pt>
                <c:pt idx="1">
                  <c:v>19.345372425281344</c:v>
                </c:pt>
                <c:pt idx="2">
                  <c:v>15.972046780023916</c:v>
                </c:pt>
                <c:pt idx="3">
                  <c:v>2.2745212410110511</c:v>
                </c:pt>
                <c:pt idx="4">
                  <c:v>2.16893614831449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D6-43B6-B093-4CE961B4D247}"/>
            </c:ext>
          </c:extLst>
        </c:ser>
        <c:ser>
          <c:idx val="2"/>
          <c:order val="1"/>
          <c:tx>
            <c:strRef>
              <c:f>'Podstawowe dane'!$B$50</c:f>
              <c:strCache>
                <c:ptCount val="1"/>
                <c:pt idx="0">
                  <c:v>Tynk wewnętrzny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dane'!$O$48:$P$48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D6-43B6-B093-4CE961B4D247}"/>
            </c:ext>
          </c:extLst>
        </c:ser>
        <c:ser>
          <c:idx val="4"/>
          <c:order val="2"/>
          <c:tx>
            <c:strRef>
              <c:f>'Podstawowe dane'!$B$49</c:f>
              <c:strCache>
                <c:ptCount val="1"/>
                <c:pt idx="0">
                  <c:v>Pustak ceramiczny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dane'!$O$49:$P$49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D6-43B6-B093-4CE961B4D247}"/>
            </c:ext>
          </c:extLst>
        </c:ser>
        <c:ser>
          <c:idx val="3"/>
          <c:order val="3"/>
          <c:tx>
            <c:strRef>
              <c:f>'Podstawowe dane'!$B$48</c:f>
              <c:strCache>
                <c:ptCount val="1"/>
                <c:pt idx="0">
                  <c:v>Styropian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dane'!$O$50:$P$50</c:f>
              <c:numCache>
                <c:formatCode>General</c:formatCod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D6-43B6-B093-4CE961B4D247}"/>
            </c:ext>
          </c:extLst>
        </c:ser>
        <c:ser>
          <c:idx val="0"/>
          <c:order val="4"/>
          <c:tx>
            <c:strRef>
              <c:f>'Podstawowe dane'!$B$47</c:f>
              <c:strCache>
                <c:ptCount val="1"/>
                <c:pt idx="0">
                  <c:v>Tynk zewnętrzny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dane'!$O$51:$P$51</c:f>
              <c:numCache>
                <c:formatCode>General</c:formatCod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D6-43B6-B093-4CE961B4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92032"/>
        <c:axId val="70082944"/>
      </c:scatterChart>
      <c:valAx>
        <c:axId val="6969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082944"/>
        <c:crosses val="autoZero"/>
        <c:crossBetween val="midCat"/>
      </c:valAx>
      <c:valAx>
        <c:axId val="700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692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Rozkład temperatury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dane'!$O$89:$O$93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25</c:v>
                </c:pt>
                <c:pt idx="3">
                  <c:v>45</c:v>
                </c:pt>
                <c:pt idx="4">
                  <c:v>46</c:v>
                </c:pt>
              </c:numCache>
            </c:numRef>
          </c:xVal>
          <c:yVal>
            <c:numRef>
              <c:f>'Podstawowe dane'!$Q$89:$Q$93</c:f>
              <c:numCache>
                <c:formatCode>0.00</c:formatCode>
                <c:ptCount val="5"/>
                <c:pt idx="0">
                  <c:v>19.686812361220095</c:v>
                </c:pt>
                <c:pt idx="1">
                  <c:v>19.626583969147035</c:v>
                </c:pt>
                <c:pt idx="2">
                  <c:v>15.178948862213467</c:v>
                </c:pt>
                <c:pt idx="3">
                  <c:v>2.1565938193899541</c:v>
                </c:pt>
                <c:pt idx="4">
                  <c:v>2.0963654273168935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32-42F5-B0D8-F16A06F528D6}"/>
            </c:ext>
          </c:extLst>
        </c:ser>
        <c:ser>
          <c:idx val="2"/>
          <c:order val="1"/>
          <c:tx>
            <c:strRef>
              <c:f>'Podstawowe dane'!$B$50</c:f>
              <c:strCache>
                <c:ptCount val="1"/>
                <c:pt idx="0">
                  <c:v>Tynk wewnętrzny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dane'!$O$48:$P$48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32-42F5-B0D8-F16A06F528D6}"/>
            </c:ext>
          </c:extLst>
        </c:ser>
        <c:ser>
          <c:idx val="4"/>
          <c:order val="2"/>
          <c:tx>
            <c:strRef>
              <c:f>'Podstawowe dane'!$B$49</c:f>
              <c:strCache>
                <c:ptCount val="1"/>
                <c:pt idx="0">
                  <c:v>Pustak ceramiczny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dane'!$O$49:$P$49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32-42F5-B0D8-F16A06F528D6}"/>
            </c:ext>
          </c:extLst>
        </c:ser>
        <c:ser>
          <c:idx val="3"/>
          <c:order val="3"/>
          <c:tx>
            <c:strRef>
              <c:f>'Podstawowe dane'!$B$48</c:f>
              <c:strCache>
                <c:ptCount val="1"/>
                <c:pt idx="0">
                  <c:v>Styropian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dane'!$O$50:$P$50</c:f>
              <c:numCache>
                <c:formatCode>General</c:formatCod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32-42F5-B0D8-F16A06F528D6}"/>
            </c:ext>
          </c:extLst>
        </c:ser>
        <c:ser>
          <c:idx val="0"/>
          <c:order val="4"/>
          <c:tx>
            <c:strRef>
              <c:f>'Podstawowe dane'!$B$47</c:f>
              <c:strCache>
                <c:ptCount val="1"/>
                <c:pt idx="0">
                  <c:v>Tynk zewnętrzny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dane'!$O$51:$P$51</c:f>
              <c:numCache>
                <c:formatCode>General</c:formatCod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32-42F5-B0D8-F16A06F52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02144"/>
        <c:axId val="125703680"/>
      </c:scatterChart>
      <c:valAx>
        <c:axId val="12570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5703680"/>
        <c:crosses val="autoZero"/>
        <c:crossBetween val="midCat"/>
      </c:valAx>
      <c:valAx>
        <c:axId val="12570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5702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Rozkład temperatury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dane'!$O$95:$O$99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26</c:v>
                </c:pt>
                <c:pt idx="3">
                  <c:v>46</c:v>
                </c:pt>
                <c:pt idx="4">
                  <c:v>47</c:v>
                </c:pt>
              </c:numCache>
            </c:numRef>
          </c:xVal>
          <c:yVal>
            <c:numRef>
              <c:f>'Podstawowe dane'!$Q$95:$Q$99</c:f>
              <c:numCache>
                <c:formatCode>0.00</c:formatCode>
                <c:ptCount val="5"/>
                <c:pt idx="0">
                  <c:v>19.614613968542642</c:v>
                </c:pt>
                <c:pt idx="1">
                  <c:v>19.540501270185455</c:v>
                </c:pt>
                <c:pt idx="2">
                  <c:v>18.21706022809288</c:v>
                </c:pt>
                <c:pt idx="3">
                  <c:v>2.192693015728679</c:v>
                </c:pt>
                <c:pt idx="4">
                  <c:v>2.1185803173714959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5C-4690-AB73-9C42DF95B29C}"/>
            </c:ext>
          </c:extLst>
        </c:ser>
        <c:ser>
          <c:idx val="2"/>
          <c:order val="1"/>
          <c:tx>
            <c:strRef>
              <c:f>'Podstawowe dane'!$B$50</c:f>
              <c:strCache>
                <c:ptCount val="1"/>
                <c:pt idx="0">
                  <c:v>Tynk wewnętrzny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dane'!$O$48:$P$48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5C-4690-AB73-9C42DF95B29C}"/>
            </c:ext>
          </c:extLst>
        </c:ser>
        <c:ser>
          <c:idx val="4"/>
          <c:order val="2"/>
          <c:tx>
            <c:strRef>
              <c:f>'Podstawowe dane'!$B$49</c:f>
              <c:strCache>
                <c:ptCount val="1"/>
                <c:pt idx="0">
                  <c:v>Pustak ceramiczny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dane'!$O$49:$P$49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5C-4690-AB73-9C42DF95B29C}"/>
            </c:ext>
          </c:extLst>
        </c:ser>
        <c:ser>
          <c:idx val="3"/>
          <c:order val="3"/>
          <c:tx>
            <c:strRef>
              <c:f>'Podstawowe dane'!$B$48</c:f>
              <c:strCache>
                <c:ptCount val="1"/>
                <c:pt idx="0">
                  <c:v>Styropian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dane'!$O$50:$P$50</c:f>
              <c:numCache>
                <c:formatCode>General</c:formatCod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5C-4690-AB73-9C42DF95B29C}"/>
            </c:ext>
          </c:extLst>
        </c:ser>
        <c:ser>
          <c:idx val="0"/>
          <c:order val="4"/>
          <c:tx>
            <c:strRef>
              <c:f>'Podstawowe dane'!$B$47</c:f>
              <c:strCache>
                <c:ptCount val="1"/>
                <c:pt idx="0">
                  <c:v>Tynk zewnętrzny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dane'!$O$51:$P$51</c:f>
              <c:numCache>
                <c:formatCode>General</c:formatCod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65C-4690-AB73-9C42DF95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59872"/>
        <c:axId val="125761408"/>
      </c:scatterChart>
      <c:valAx>
        <c:axId val="12575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5761408"/>
        <c:crosses val="autoZero"/>
        <c:crossBetween val="midCat"/>
      </c:valAx>
      <c:valAx>
        <c:axId val="1257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5759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'Podstawowe dane'!$B$247</c:f>
              <c:strCache>
                <c:ptCount val="1"/>
                <c:pt idx="0">
                  <c:v> WARIANT 1 </c:v>
                </c:pt>
              </c:strCache>
            </c:strRef>
          </c:tx>
          <c:marker>
            <c:symbol val="none"/>
          </c:marker>
          <c:xVal>
            <c:numRef>
              <c:f>'Podstawowe dane'!$A$248:$A$287</c:f>
              <c:numCache>
                <c:formatCode>_(* #,##0.00_);_(* \(#,##0.00\);_(* "-"??_);_(@_)</c:formatCode>
                <c:ptCount val="40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</c:numCache>
            </c:numRef>
          </c:xVal>
          <c:yVal>
            <c:numRef>
              <c:f>'Podstawowe dane'!$B$248:$B$287</c:f>
              <c:numCache>
                <c:formatCode>_(* #,##0.00_);_(* \(#,##0.00\);_(* "-"??_);_(@_)</c:formatCode>
                <c:ptCount val="40"/>
                <c:pt idx="0">
                  <c:v>10.323875730330066</c:v>
                </c:pt>
                <c:pt idx="1">
                  <c:v>10.089242191004383</c:v>
                </c:pt>
                <c:pt idx="2">
                  <c:v>9.8546086516786993</c:v>
                </c:pt>
                <c:pt idx="3">
                  <c:v>9.6199751123530159</c:v>
                </c:pt>
                <c:pt idx="4">
                  <c:v>9.3853415730273326</c:v>
                </c:pt>
                <c:pt idx="5">
                  <c:v>9.1507080337016493</c:v>
                </c:pt>
                <c:pt idx="6">
                  <c:v>8.916074494375966</c:v>
                </c:pt>
                <c:pt idx="7">
                  <c:v>8.6814409550502827</c:v>
                </c:pt>
                <c:pt idx="8">
                  <c:v>8.4468074157245994</c:v>
                </c:pt>
                <c:pt idx="9">
                  <c:v>8.2121738763989161</c:v>
                </c:pt>
                <c:pt idx="10">
                  <c:v>7.9775403370732327</c:v>
                </c:pt>
                <c:pt idx="11">
                  <c:v>7.7429067977475494</c:v>
                </c:pt>
                <c:pt idx="12">
                  <c:v>7.5082732584218661</c:v>
                </c:pt>
                <c:pt idx="13">
                  <c:v>7.2736397190961828</c:v>
                </c:pt>
                <c:pt idx="14">
                  <c:v>7.0390061797704995</c:v>
                </c:pt>
                <c:pt idx="15">
                  <c:v>6.8043726404448162</c:v>
                </c:pt>
                <c:pt idx="16">
                  <c:v>6.5697391011191328</c:v>
                </c:pt>
                <c:pt idx="17">
                  <c:v>6.3351055617934495</c:v>
                </c:pt>
                <c:pt idx="18">
                  <c:v>6.1004720224677662</c:v>
                </c:pt>
                <c:pt idx="19">
                  <c:v>5.8658384831420829</c:v>
                </c:pt>
                <c:pt idx="20">
                  <c:v>5.6312049438163996</c:v>
                </c:pt>
                <c:pt idx="21">
                  <c:v>5.3965714044907163</c:v>
                </c:pt>
                <c:pt idx="22">
                  <c:v>5.1619378651650329</c:v>
                </c:pt>
                <c:pt idx="23">
                  <c:v>4.9273043258393496</c:v>
                </c:pt>
                <c:pt idx="24">
                  <c:v>4.6926707865136663</c:v>
                </c:pt>
                <c:pt idx="25">
                  <c:v>4.458037247187983</c:v>
                </c:pt>
                <c:pt idx="26">
                  <c:v>4.2234037078622997</c:v>
                </c:pt>
                <c:pt idx="27">
                  <c:v>3.9887701685366164</c:v>
                </c:pt>
                <c:pt idx="28">
                  <c:v>3.7541366292109331</c:v>
                </c:pt>
                <c:pt idx="29">
                  <c:v>3.5195030898852497</c:v>
                </c:pt>
                <c:pt idx="30">
                  <c:v>3.2848695505595664</c:v>
                </c:pt>
                <c:pt idx="31">
                  <c:v>3.0502360112338831</c:v>
                </c:pt>
                <c:pt idx="32">
                  <c:v>2.8156024719081998</c:v>
                </c:pt>
                <c:pt idx="33">
                  <c:v>2.5809689325825165</c:v>
                </c:pt>
                <c:pt idx="34">
                  <c:v>2.3463353932568332</c:v>
                </c:pt>
                <c:pt idx="35">
                  <c:v>2.1117018539311498</c:v>
                </c:pt>
                <c:pt idx="36">
                  <c:v>1.8770683146054665</c:v>
                </c:pt>
                <c:pt idx="37">
                  <c:v>1.6424347752797832</c:v>
                </c:pt>
                <c:pt idx="38">
                  <c:v>1.4078012359540999</c:v>
                </c:pt>
                <c:pt idx="39">
                  <c:v>1.1731676966284166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7CE-44E3-8584-74CA419F4873}"/>
            </c:ext>
          </c:extLst>
        </c:ser>
        <c:ser>
          <c:idx val="4"/>
          <c:order val="1"/>
          <c:tx>
            <c:strRef>
              <c:f>'Podstawowe dane'!$C$247</c:f>
              <c:strCache>
                <c:ptCount val="1"/>
                <c:pt idx="0">
                  <c:v> WARIANT 2 </c:v>
                </c:pt>
              </c:strCache>
            </c:strRef>
          </c:tx>
          <c:marker>
            <c:symbol val="none"/>
          </c:marker>
          <c:xVal>
            <c:numRef>
              <c:f>'Podstawowe dane'!$A$248:$A$287</c:f>
              <c:numCache>
                <c:formatCode>_(* #,##0.00_);_(* \(#,##0.00\);_(* "-"??_);_(@_)</c:formatCode>
                <c:ptCount val="40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</c:numCache>
            </c:numRef>
          </c:xVal>
          <c:yVal>
            <c:numRef>
              <c:f>'Podstawowe dane'!$C$248:$C$287</c:f>
              <c:numCache>
                <c:formatCode>_(* #,##0.00_);_(* \(#,##0.00\);_(* "-"??_);_(@_)</c:formatCode>
                <c:ptCount val="40"/>
                <c:pt idx="0">
                  <c:v>8.2871933025820148</c:v>
                </c:pt>
                <c:pt idx="1">
                  <c:v>8.0988480002506051</c:v>
                </c:pt>
                <c:pt idx="2">
                  <c:v>7.9105026979191955</c:v>
                </c:pt>
                <c:pt idx="3">
                  <c:v>7.7221573955877858</c:v>
                </c:pt>
                <c:pt idx="4">
                  <c:v>7.533812093256377</c:v>
                </c:pt>
                <c:pt idx="5">
                  <c:v>7.3454667909249673</c:v>
                </c:pt>
                <c:pt idx="6">
                  <c:v>7.1571214885935577</c:v>
                </c:pt>
                <c:pt idx="7">
                  <c:v>6.968776186262148</c:v>
                </c:pt>
                <c:pt idx="8">
                  <c:v>6.7804308839307392</c:v>
                </c:pt>
                <c:pt idx="9">
                  <c:v>6.5920855815993296</c:v>
                </c:pt>
                <c:pt idx="10">
                  <c:v>6.4037402792679199</c:v>
                </c:pt>
                <c:pt idx="11">
                  <c:v>6.2153949769365111</c:v>
                </c:pt>
                <c:pt idx="12">
                  <c:v>6.0270496746051014</c:v>
                </c:pt>
                <c:pt idx="13">
                  <c:v>5.8387043722736918</c:v>
                </c:pt>
                <c:pt idx="14">
                  <c:v>5.6503590699422821</c:v>
                </c:pt>
                <c:pt idx="15">
                  <c:v>5.4620137676108733</c:v>
                </c:pt>
                <c:pt idx="16">
                  <c:v>5.2736684652794636</c:v>
                </c:pt>
                <c:pt idx="17">
                  <c:v>5.085323162948054</c:v>
                </c:pt>
                <c:pt idx="18">
                  <c:v>4.8969778606166452</c:v>
                </c:pt>
                <c:pt idx="19">
                  <c:v>4.7086325582852355</c:v>
                </c:pt>
                <c:pt idx="20">
                  <c:v>4.5202872559538259</c:v>
                </c:pt>
                <c:pt idx="21">
                  <c:v>4.3319419536224162</c:v>
                </c:pt>
                <c:pt idx="22">
                  <c:v>4.1435966512910074</c:v>
                </c:pt>
                <c:pt idx="23">
                  <c:v>3.9552513489595977</c:v>
                </c:pt>
                <c:pt idx="24">
                  <c:v>3.7669060466281885</c:v>
                </c:pt>
                <c:pt idx="25">
                  <c:v>3.5785607442967788</c:v>
                </c:pt>
                <c:pt idx="26">
                  <c:v>3.3902154419653696</c:v>
                </c:pt>
                <c:pt idx="27">
                  <c:v>3.2018701396339599</c:v>
                </c:pt>
                <c:pt idx="28">
                  <c:v>3.0135248373025507</c:v>
                </c:pt>
                <c:pt idx="29">
                  <c:v>2.825179534971141</c:v>
                </c:pt>
                <c:pt idx="30">
                  <c:v>2.6368342326397318</c:v>
                </c:pt>
                <c:pt idx="31">
                  <c:v>2.4484889303083226</c:v>
                </c:pt>
                <c:pt idx="32">
                  <c:v>2.2601436279769129</c:v>
                </c:pt>
                <c:pt idx="33">
                  <c:v>2.0717983256455037</c:v>
                </c:pt>
                <c:pt idx="34">
                  <c:v>1.8834530233140943</c:v>
                </c:pt>
                <c:pt idx="35">
                  <c:v>1.6951077209826848</c:v>
                </c:pt>
                <c:pt idx="36">
                  <c:v>1.5067624186512754</c:v>
                </c:pt>
                <c:pt idx="37">
                  <c:v>1.3184171163198659</c:v>
                </c:pt>
                <c:pt idx="38">
                  <c:v>1.1300718139884565</c:v>
                </c:pt>
                <c:pt idx="39">
                  <c:v>0.94172651165704713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7CE-44E3-8584-74CA419F4873}"/>
            </c:ext>
          </c:extLst>
        </c:ser>
        <c:ser>
          <c:idx val="5"/>
          <c:order val="2"/>
          <c:tx>
            <c:strRef>
              <c:f>'Podstawowe dane'!$D$247</c:f>
              <c:strCache>
                <c:ptCount val="1"/>
                <c:pt idx="0">
                  <c:v> WARIANT 3 </c:v>
                </c:pt>
              </c:strCache>
            </c:strRef>
          </c:tx>
          <c:marker>
            <c:symbol val="none"/>
          </c:marker>
          <c:xVal>
            <c:numRef>
              <c:f>'Podstawowe dane'!$A$248:$A$287</c:f>
              <c:numCache>
                <c:formatCode>_(* #,##0.00_);_(* \(#,##0.00\);_(* "-"??_);_(@_)</c:formatCode>
                <c:ptCount val="40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</c:numCache>
            </c:numRef>
          </c:xVal>
          <c:yVal>
            <c:numRef>
              <c:f>'Podstawowe dane'!$D$248:$D$287</c:f>
              <c:numCache>
                <c:formatCode>_(* #,##0.00_);_(* \(#,##0.00\);_(* "-"??_);_(@_)</c:formatCode>
                <c:ptCount val="40"/>
                <c:pt idx="0">
                  <c:v>11.254141545815003</c:v>
                </c:pt>
                <c:pt idx="1">
                  <c:v>10.998365601591935</c:v>
                </c:pt>
                <c:pt idx="2">
                  <c:v>10.742589657368866</c:v>
                </c:pt>
                <c:pt idx="3">
                  <c:v>10.486813713145798</c:v>
                </c:pt>
                <c:pt idx="4">
                  <c:v>10.231037768922731</c:v>
                </c:pt>
                <c:pt idx="5">
                  <c:v>9.9752618246996612</c:v>
                </c:pt>
                <c:pt idx="6">
                  <c:v>9.7194858804765936</c:v>
                </c:pt>
                <c:pt idx="7">
                  <c:v>9.463709936253526</c:v>
                </c:pt>
                <c:pt idx="8">
                  <c:v>9.2079339920304566</c:v>
                </c:pt>
                <c:pt idx="9">
                  <c:v>8.952158047807389</c:v>
                </c:pt>
                <c:pt idx="10">
                  <c:v>8.6963821035843196</c:v>
                </c:pt>
                <c:pt idx="11">
                  <c:v>8.440606159361252</c:v>
                </c:pt>
                <c:pt idx="12">
                  <c:v>8.1848302151381844</c:v>
                </c:pt>
                <c:pt idx="13">
                  <c:v>7.9290542709151159</c:v>
                </c:pt>
                <c:pt idx="14">
                  <c:v>7.6732783266920475</c:v>
                </c:pt>
                <c:pt idx="15">
                  <c:v>7.417502382468979</c:v>
                </c:pt>
                <c:pt idx="16">
                  <c:v>7.1617264382459105</c:v>
                </c:pt>
                <c:pt idx="17">
                  <c:v>6.9059504940228429</c:v>
                </c:pt>
                <c:pt idx="18">
                  <c:v>6.6501745497997744</c:v>
                </c:pt>
                <c:pt idx="19">
                  <c:v>6.3943986055767059</c:v>
                </c:pt>
                <c:pt idx="20">
                  <c:v>6.1386226613536383</c:v>
                </c:pt>
                <c:pt idx="21">
                  <c:v>5.8828467171305698</c:v>
                </c:pt>
                <c:pt idx="22">
                  <c:v>5.6270707729075014</c:v>
                </c:pt>
                <c:pt idx="23">
                  <c:v>5.3712948286844329</c:v>
                </c:pt>
                <c:pt idx="24">
                  <c:v>5.1155188844613653</c:v>
                </c:pt>
                <c:pt idx="25">
                  <c:v>4.8597429402382968</c:v>
                </c:pt>
                <c:pt idx="26">
                  <c:v>4.6039669960152283</c:v>
                </c:pt>
                <c:pt idx="27">
                  <c:v>4.3481910517921598</c:v>
                </c:pt>
                <c:pt idx="28">
                  <c:v>4.0924151075690922</c:v>
                </c:pt>
                <c:pt idx="29">
                  <c:v>3.8366391633460237</c:v>
                </c:pt>
                <c:pt idx="30">
                  <c:v>3.5808632191229552</c:v>
                </c:pt>
                <c:pt idx="31">
                  <c:v>3.3250872748998872</c:v>
                </c:pt>
                <c:pt idx="32">
                  <c:v>3.0693113306768192</c:v>
                </c:pt>
                <c:pt idx="33">
                  <c:v>2.8135353864537507</c:v>
                </c:pt>
                <c:pt idx="34">
                  <c:v>2.5577594422306826</c:v>
                </c:pt>
                <c:pt idx="35">
                  <c:v>2.3019834980076141</c:v>
                </c:pt>
                <c:pt idx="36">
                  <c:v>2.0462075537845461</c:v>
                </c:pt>
                <c:pt idx="37">
                  <c:v>1.7904316095614776</c:v>
                </c:pt>
                <c:pt idx="38">
                  <c:v>1.5346556653384096</c:v>
                </c:pt>
                <c:pt idx="39">
                  <c:v>1.2788797211153413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7CE-44E3-8584-74CA419F4873}"/>
            </c:ext>
          </c:extLst>
        </c:ser>
        <c:ser>
          <c:idx val="6"/>
          <c:order val="3"/>
          <c:tx>
            <c:strRef>
              <c:f>'Podstawowe dane'!$E$247</c:f>
              <c:strCache>
                <c:ptCount val="1"/>
                <c:pt idx="0">
                  <c:v> WARIANT 4 </c:v>
                </c:pt>
              </c:strCache>
            </c:strRef>
          </c:tx>
          <c:marker>
            <c:symbol val="none"/>
          </c:marker>
          <c:xVal>
            <c:numRef>
              <c:f>'Podstawowe dane'!$A$248:$A$287</c:f>
              <c:numCache>
                <c:formatCode>_(* #,##0.00_);_(* \(#,##0.00\);_(* "-"??_);_(@_)</c:formatCode>
                <c:ptCount val="40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</c:numCache>
            </c:numRef>
          </c:xVal>
          <c:yVal>
            <c:numRef>
              <c:f>'Podstawowe dane'!$E$248:$E$287</c:f>
              <c:numCache>
                <c:formatCode>_(* #,##0.00_);_(* \(#,##0.00\);_(* "-"??_);_(@_)</c:formatCode>
                <c:ptCount val="40"/>
                <c:pt idx="0">
                  <c:v>8.6737516387842106</c:v>
                </c:pt>
                <c:pt idx="1">
                  <c:v>8.4766209197209346</c:v>
                </c:pt>
                <c:pt idx="2">
                  <c:v>8.2794902006576567</c:v>
                </c:pt>
                <c:pt idx="3">
                  <c:v>8.0823594815943789</c:v>
                </c:pt>
                <c:pt idx="4">
                  <c:v>7.8852287625311011</c:v>
                </c:pt>
                <c:pt idx="5">
                  <c:v>7.6880980434678232</c:v>
                </c:pt>
                <c:pt idx="6">
                  <c:v>7.4909673244045463</c:v>
                </c:pt>
                <c:pt idx="7">
                  <c:v>7.2938366053412684</c:v>
                </c:pt>
                <c:pt idx="8">
                  <c:v>7.0967058862779915</c:v>
                </c:pt>
                <c:pt idx="9">
                  <c:v>6.8995751672147136</c:v>
                </c:pt>
                <c:pt idx="10">
                  <c:v>6.7024444481514358</c:v>
                </c:pt>
                <c:pt idx="11">
                  <c:v>6.5053137290881589</c:v>
                </c:pt>
                <c:pt idx="12">
                  <c:v>6.308183010024881</c:v>
                </c:pt>
                <c:pt idx="13">
                  <c:v>6.1110522909616032</c:v>
                </c:pt>
                <c:pt idx="14">
                  <c:v>5.9139215718983262</c:v>
                </c:pt>
                <c:pt idx="15">
                  <c:v>5.7167908528350484</c:v>
                </c:pt>
                <c:pt idx="16">
                  <c:v>5.5196601337717706</c:v>
                </c:pt>
                <c:pt idx="17">
                  <c:v>5.3225294147084936</c:v>
                </c:pt>
                <c:pt idx="18">
                  <c:v>5.1253986956452158</c:v>
                </c:pt>
                <c:pt idx="19">
                  <c:v>4.9282679765819379</c:v>
                </c:pt>
                <c:pt idx="20">
                  <c:v>4.731137257518661</c:v>
                </c:pt>
                <c:pt idx="21">
                  <c:v>4.5340065384553832</c:v>
                </c:pt>
                <c:pt idx="22">
                  <c:v>4.3368758193921053</c:v>
                </c:pt>
                <c:pt idx="23">
                  <c:v>4.1397451003288284</c:v>
                </c:pt>
                <c:pt idx="24">
                  <c:v>3.9426143812655505</c:v>
                </c:pt>
                <c:pt idx="25">
                  <c:v>3.7454836622022731</c:v>
                </c:pt>
                <c:pt idx="26">
                  <c:v>3.5483529431389957</c:v>
                </c:pt>
                <c:pt idx="27">
                  <c:v>3.3512222240757179</c:v>
                </c:pt>
                <c:pt idx="28">
                  <c:v>3.1540915050124405</c:v>
                </c:pt>
                <c:pt idx="29">
                  <c:v>2.9569607859491631</c:v>
                </c:pt>
                <c:pt idx="30">
                  <c:v>2.7598300668858853</c:v>
                </c:pt>
                <c:pt idx="31">
                  <c:v>2.5626993478226079</c:v>
                </c:pt>
                <c:pt idx="32">
                  <c:v>2.3655686287593305</c:v>
                </c:pt>
                <c:pt idx="33">
                  <c:v>2.1684379096960527</c:v>
                </c:pt>
                <c:pt idx="34">
                  <c:v>1.9713071906327753</c:v>
                </c:pt>
                <c:pt idx="35">
                  <c:v>1.7741764715694979</c:v>
                </c:pt>
                <c:pt idx="36">
                  <c:v>1.5770457525062203</c:v>
                </c:pt>
                <c:pt idx="37">
                  <c:v>1.3799150334429426</c:v>
                </c:pt>
                <c:pt idx="38">
                  <c:v>1.1827843143796652</c:v>
                </c:pt>
                <c:pt idx="39">
                  <c:v>0.98565359531638763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7CE-44E3-8584-74CA419F4873}"/>
            </c:ext>
          </c:extLst>
        </c:ser>
        <c:ser>
          <c:idx val="7"/>
          <c:order val="4"/>
          <c:tx>
            <c:strRef>
              <c:f>'Podstawowe dane'!$F$247</c:f>
              <c:strCache>
                <c:ptCount val="1"/>
                <c:pt idx="0">
                  <c:v> WARIANT 5 </c:v>
                </c:pt>
              </c:strCache>
            </c:strRef>
          </c:tx>
          <c:marker>
            <c:symbol val="none"/>
          </c:marker>
          <c:xVal>
            <c:numRef>
              <c:f>'Podstawowe dane'!$A$248:$A$287</c:f>
              <c:numCache>
                <c:formatCode>_(* #,##0.00_);_(* \(#,##0.00\);_(* "-"??_);_(@_)</c:formatCode>
                <c:ptCount val="40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</c:numCache>
            </c:numRef>
          </c:xVal>
          <c:yVal>
            <c:numRef>
              <c:f>'Podstawowe dane'!$F$248:$F$287</c:f>
              <c:numCache>
                <c:formatCode>_(* #,##0.00_);_(* \(#,##0.00\);_(* "-"??_);_(@_)</c:formatCode>
                <c:ptCount val="40"/>
                <c:pt idx="0">
                  <c:v>7.1892982587250573</c:v>
                </c:pt>
                <c:pt idx="1">
                  <c:v>7.0259051164813062</c:v>
                </c:pt>
                <c:pt idx="2">
                  <c:v>6.8625119742375542</c:v>
                </c:pt>
                <c:pt idx="3">
                  <c:v>6.6991188319938031</c:v>
                </c:pt>
                <c:pt idx="4">
                  <c:v>6.535725689750052</c:v>
                </c:pt>
                <c:pt idx="5">
                  <c:v>6.3723325475063008</c:v>
                </c:pt>
                <c:pt idx="6">
                  <c:v>6.2089394052625497</c:v>
                </c:pt>
                <c:pt idx="7">
                  <c:v>6.0455462630187977</c:v>
                </c:pt>
                <c:pt idx="8">
                  <c:v>5.8821531207750466</c:v>
                </c:pt>
                <c:pt idx="9">
                  <c:v>5.7187599785312955</c:v>
                </c:pt>
                <c:pt idx="10">
                  <c:v>5.5553668362875444</c:v>
                </c:pt>
                <c:pt idx="11">
                  <c:v>5.3919736940437932</c:v>
                </c:pt>
                <c:pt idx="12">
                  <c:v>5.2285805518000412</c:v>
                </c:pt>
                <c:pt idx="13">
                  <c:v>5.0651874095562901</c:v>
                </c:pt>
                <c:pt idx="14">
                  <c:v>4.901794267312539</c:v>
                </c:pt>
                <c:pt idx="15">
                  <c:v>4.7384011250687879</c:v>
                </c:pt>
                <c:pt idx="16">
                  <c:v>4.5750079828250367</c:v>
                </c:pt>
                <c:pt idx="17">
                  <c:v>4.4116148405812847</c:v>
                </c:pt>
                <c:pt idx="18">
                  <c:v>4.2482216983375336</c:v>
                </c:pt>
                <c:pt idx="19">
                  <c:v>4.0848285560937825</c:v>
                </c:pt>
                <c:pt idx="20">
                  <c:v>3.9214354138500314</c:v>
                </c:pt>
                <c:pt idx="21">
                  <c:v>3.7580422716062798</c:v>
                </c:pt>
                <c:pt idx="22">
                  <c:v>3.5946491293625287</c:v>
                </c:pt>
                <c:pt idx="23">
                  <c:v>3.4312559871187771</c:v>
                </c:pt>
                <c:pt idx="24">
                  <c:v>3.267862844875026</c:v>
                </c:pt>
                <c:pt idx="25">
                  <c:v>3.1044697026312749</c:v>
                </c:pt>
                <c:pt idx="26">
                  <c:v>2.9410765603875233</c:v>
                </c:pt>
                <c:pt idx="27">
                  <c:v>2.7776834181437722</c:v>
                </c:pt>
                <c:pt idx="28">
                  <c:v>2.6142902759000206</c:v>
                </c:pt>
                <c:pt idx="29">
                  <c:v>2.4508971336562695</c:v>
                </c:pt>
                <c:pt idx="30">
                  <c:v>2.2875039914125184</c:v>
                </c:pt>
                <c:pt idx="31">
                  <c:v>2.1241108491687668</c:v>
                </c:pt>
                <c:pt idx="32">
                  <c:v>1.9607177069250157</c:v>
                </c:pt>
                <c:pt idx="33">
                  <c:v>1.7973245646812643</c:v>
                </c:pt>
                <c:pt idx="34">
                  <c:v>1.633931422437513</c:v>
                </c:pt>
                <c:pt idx="35">
                  <c:v>1.4705382801937616</c:v>
                </c:pt>
                <c:pt idx="36">
                  <c:v>1.3071451379500103</c:v>
                </c:pt>
                <c:pt idx="37">
                  <c:v>1.1437519957062592</c:v>
                </c:pt>
                <c:pt idx="38">
                  <c:v>0.98035885346250784</c:v>
                </c:pt>
                <c:pt idx="39">
                  <c:v>0.8169657112187565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7CE-44E3-8584-74CA419F4873}"/>
            </c:ext>
          </c:extLst>
        </c:ser>
        <c:ser>
          <c:idx val="8"/>
          <c:order val="5"/>
          <c:tx>
            <c:strRef>
              <c:f>'Podstawowe dane'!$G$247</c:f>
              <c:strCache>
                <c:ptCount val="1"/>
                <c:pt idx="0">
                  <c:v> WARIANT 6 </c:v>
                </c:pt>
              </c:strCache>
            </c:strRef>
          </c:tx>
          <c:marker>
            <c:symbol val="none"/>
          </c:marker>
          <c:xVal>
            <c:numRef>
              <c:f>'Podstawowe dane'!$A$248:$A$287</c:f>
              <c:numCache>
                <c:formatCode>_(* #,##0.00_);_(* \(#,##0.00\);_(* "-"??_);_(@_)</c:formatCode>
                <c:ptCount val="40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</c:numCache>
            </c:numRef>
          </c:xVal>
          <c:yVal>
            <c:numRef>
              <c:f>'Podstawowe dane'!$G$248:$G$287</c:f>
              <c:numCache>
                <c:formatCode>_(* #,##0.00_);_(* \(#,##0.00\);_(* "-"??_);_(@_)</c:formatCode>
                <c:ptCount val="40"/>
                <c:pt idx="0">
                  <c:v>9.3210808069654529</c:v>
                </c:pt>
                <c:pt idx="1">
                  <c:v>9.1092380613526025</c:v>
                </c:pt>
                <c:pt idx="2">
                  <c:v>8.8973953157397503</c:v>
                </c:pt>
                <c:pt idx="3">
                  <c:v>8.6855525701268999</c:v>
                </c:pt>
                <c:pt idx="4">
                  <c:v>8.4737098245140494</c:v>
                </c:pt>
                <c:pt idx="5">
                  <c:v>8.2618670789011972</c:v>
                </c:pt>
                <c:pt idx="6">
                  <c:v>8.0500243332883468</c:v>
                </c:pt>
                <c:pt idx="7">
                  <c:v>7.8381815876754946</c:v>
                </c:pt>
                <c:pt idx="8">
                  <c:v>7.6263388420626441</c:v>
                </c:pt>
                <c:pt idx="9">
                  <c:v>7.4144960964497928</c:v>
                </c:pt>
                <c:pt idx="10">
                  <c:v>7.2026533508369415</c:v>
                </c:pt>
                <c:pt idx="11">
                  <c:v>6.9908106052240901</c:v>
                </c:pt>
                <c:pt idx="12">
                  <c:v>6.7789678596112388</c:v>
                </c:pt>
                <c:pt idx="13">
                  <c:v>6.5671251139983875</c:v>
                </c:pt>
                <c:pt idx="14">
                  <c:v>6.3552823683855362</c:v>
                </c:pt>
                <c:pt idx="15">
                  <c:v>6.1434396227726848</c:v>
                </c:pt>
                <c:pt idx="16">
                  <c:v>5.9315968771598344</c:v>
                </c:pt>
                <c:pt idx="17">
                  <c:v>5.7197541315469831</c:v>
                </c:pt>
                <c:pt idx="18">
                  <c:v>5.5079113859341318</c:v>
                </c:pt>
                <c:pt idx="19">
                  <c:v>5.2960686403212804</c:v>
                </c:pt>
                <c:pt idx="20">
                  <c:v>5.0842258947084291</c:v>
                </c:pt>
                <c:pt idx="21">
                  <c:v>4.8723831490955778</c:v>
                </c:pt>
                <c:pt idx="22">
                  <c:v>4.6605404034827265</c:v>
                </c:pt>
                <c:pt idx="23">
                  <c:v>4.4486976578698751</c:v>
                </c:pt>
                <c:pt idx="24">
                  <c:v>4.2368549122570247</c:v>
                </c:pt>
                <c:pt idx="25">
                  <c:v>4.0250121666441734</c:v>
                </c:pt>
                <c:pt idx="26">
                  <c:v>3.8131694210313221</c:v>
                </c:pt>
                <c:pt idx="27">
                  <c:v>3.6013266754184707</c:v>
                </c:pt>
                <c:pt idx="28">
                  <c:v>3.3894839298056194</c:v>
                </c:pt>
                <c:pt idx="29">
                  <c:v>3.1776411841927681</c:v>
                </c:pt>
                <c:pt idx="30">
                  <c:v>2.9657984385799172</c:v>
                </c:pt>
                <c:pt idx="31">
                  <c:v>2.7539556929670659</c:v>
                </c:pt>
                <c:pt idx="32">
                  <c:v>2.5421129473542146</c:v>
                </c:pt>
                <c:pt idx="33">
                  <c:v>2.3302702017413632</c:v>
                </c:pt>
                <c:pt idx="34">
                  <c:v>2.1184274561285124</c:v>
                </c:pt>
                <c:pt idx="35">
                  <c:v>1.906584710515661</c:v>
                </c:pt>
                <c:pt idx="36">
                  <c:v>1.6947419649028097</c:v>
                </c:pt>
                <c:pt idx="37">
                  <c:v>1.4828992192899586</c:v>
                </c:pt>
                <c:pt idx="38">
                  <c:v>1.2710564736771073</c:v>
                </c:pt>
                <c:pt idx="39">
                  <c:v>1.0592137280642562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7CE-44E3-8584-74CA419F4873}"/>
            </c:ext>
          </c:extLst>
        </c:ser>
        <c:ser>
          <c:idx val="9"/>
          <c:order val="6"/>
          <c:tx>
            <c:strRef>
              <c:f>'Podstawowe dane'!$H$247</c:f>
              <c:strCache>
                <c:ptCount val="1"/>
                <c:pt idx="0">
                  <c:v> WARIANT 7 </c:v>
                </c:pt>
              </c:strCache>
            </c:strRef>
          </c:tx>
          <c:marker>
            <c:symbol val="none"/>
          </c:marker>
          <c:xVal>
            <c:numRef>
              <c:f>'Podstawowe dane'!$A$248:$A$287</c:f>
              <c:numCache>
                <c:formatCode>_(* #,##0.00_);_(* \(#,##0.00\);_(* "-"??_);_(@_)</c:formatCode>
                <c:ptCount val="40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</c:numCache>
            </c:numRef>
          </c:xVal>
          <c:yVal>
            <c:numRef>
              <c:f>'Podstawowe dane'!$H$248:$H$287</c:f>
              <c:numCache>
                <c:formatCode>_(* #,##0.00_);_(* \(#,##0.00\);_(* "-"??_);_(@_)</c:formatCode>
                <c:ptCount val="40"/>
                <c:pt idx="0">
                  <c:v>6.849179182938423</c:v>
                </c:pt>
                <c:pt idx="1">
                  <c:v>6.693516019689822</c:v>
                </c:pt>
                <c:pt idx="2">
                  <c:v>6.5378528564412219</c:v>
                </c:pt>
                <c:pt idx="3">
                  <c:v>6.382189693192621</c:v>
                </c:pt>
                <c:pt idx="4">
                  <c:v>6.2265265299440209</c:v>
                </c:pt>
                <c:pt idx="5">
                  <c:v>6.0708633666954199</c:v>
                </c:pt>
                <c:pt idx="6">
                  <c:v>5.9152002034468198</c:v>
                </c:pt>
                <c:pt idx="7">
                  <c:v>5.7595370401982189</c:v>
                </c:pt>
                <c:pt idx="8">
                  <c:v>5.6038738769496188</c:v>
                </c:pt>
                <c:pt idx="9">
                  <c:v>5.4482107137010178</c:v>
                </c:pt>
                <c:pt idx="10">
                  <c:v>5.2925475504524178</c:v>
                </c:pt>
                <c:pt idx="11">
                  <c:v>5.1368843872038168</c:v>
                </c:pt>
                <c:pt idx="12">
                  <c:v>4.9812212239552167</c:v>
                </c:pt>
                <c:pt idx="13">
                  <c:v>4.8255580607066157</c:v>
                </c:pt>
                <c:pt idx="14">
                  <c:v>4.6698948974580157</c:v>
                </c:pt>
                <c:pt idx="15">
                  <c:v>4.5142317342094147</c:v>
                </c:pt>
                <c:pt idx="16">
                  <c:v>4.3585685709608146</c:v>
                </c:pt>
                <c:pt idx="17">
                  <c:v>4.2029054077122137</c:v>
                </c:pt>
                <c:pt idx="18">
                  <c:v>4.0472422444636136</c:v>
                </c:pt>
                <c:pt idx="19">
                  <c:v>3.8915790812150131</c:v>
                </c:pt>
                <c:pt idx="20">
                  <c:v>3.7359159179664125</c:v>
                </c:pt>
                <c:pt idx="21">
                  <c:v>3.580252754717812</c:v>
                </c:pt>
                <c:pt idx="22">
                  <c:v>3.4245895914692115</c:v>
                </c:pt>
                <c:pt idx="23">
                  <c:v>3.268926428220611</c:v>
                </c:pt>
                <c:pt idx="24">
                  <c:v>3.1132632649720104</c:v>
                </c:pt>
                <c:pt idx="25">
                  <c:v>2.9576001017234099</c:v>
                </c:pt>
                <c:pt idx="26">
                  <c:v>2.8019369384748094</c:v>
                </c:pt>
                <c:pt idx="27">
                  <c:v>2.6462737752262089</c:v>
                </c:pt>
                <c:pt idx="28">
                  <c:v>2.4906106119776084</c:v>
                </c:pt>
                <c:pt idx="29">
                  <c:v>2.3349474487290078</c:v>
                </c:pt>
                <c:pt idx="30">
                  <c:v>2.1792842854804073</c:v>
                </c:pt>
                <c:pt idx="31">
                  <c:v>2.0236211222318068</c:v>
                </c:pt>
                <c:pt idx="32">
                  <c:v>1.8679579589832063</c:v>
                </c:pt>
                <c:pt idx="33">
                  <c:v>1.7122947957346057</c:v>
                </c:pt>
                <c:pt idx="34">
                  <c:v>1.5566316324860052</c:v>
                </c:pt>
                <c:pt idx="35">
                  <c:v>1.4009684692374047</c:v>
                </c:pt>
                <c:pt idx="36">
                  <c:v>1.2453053059888042</c:v>
                </c:pt>
                <c:pt idx="37">
                  <c:v>1.0896421427402037</c:v>
                </c:pt>
                <c:pt idx="38">
                  <c:v>0.93397897949160313</c:v>
                </c:pt>
                <c:pt idx="39">
                  <c:v>0.77831581624300261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7CE-44E3-8584-74CA419F4873}"/>
            </c:ext>
          </c:extLst>
        </c:ser>
        <c:ser>
          <c:idx val="10"/>
          <c:order val="7"/>
          <c:tx>
            <c:strRef>
              <c:f>'Podstawowe dane'!$I$247</c:f>
              <c:strCache>
                <c:ptCount val="1"/>
                <c:pt idx="0">
                  <c:v> WARIANT 8 </c:v>
                </c:pt>
              </c:strCache>
            </c:strRef>
          </c:tx>
          <c:marker>
            <c:symbol val="none"/>
          </c:marker>
          <c:xVal>
            <c:numRef>
              <c:f>'Podstawowe dane'!$A$248:$A$287</c:f>
              <c:numCache>
                <c:formatCode>_(* #,##0.00_);_(* \(#,##0.00\);_(* "-"??_);_(@_)</c:formatCode>
                <c:ptCount val="40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</c:numCache>
            </c:numRef>
          </c:xVal>
          <c:yVal>
            <c:numRef>
              <c:f>'Podstawowe dane'!$I$248:$I$287</c:f>
              <c:numCache>
                <c:formatCode>_(* #,##0.00_);_(* \(#,##0.00\);_(* "-"??_);_(@_)</c:formatCode>
                <c:ptCount val="40"/>
                <c:pt idx="0">
                  <c:v>5.8889983360324107</c:v>
                </c:pt>
                <c:pt idx="1">
                  <c:v>5.7551574647589465</c:v>
                </c:pt>
                <c:pt idx="2">
                  <c:v>5.6213165934854823</c:v>
                </c:pt>
                <c:pt idx="3">
                  <c:v>5.487475722212019</c:v>
                </c:pt>
                <c:pt idx="4">
                  <c:v>5.3536348509385547</c:v>
                </c:pt>
                <c:pt idx="5">
                  <c:v>5.2197939796650914</c:v>
                </c:pt>
                <c:pt idx="6">
                  <c:v>5.0859531083916272</c:v>
                </c:pt>
                <c:pt idx="7">
                  <c:v>4.952112237118163</c:v>
                </c:pt>
                <c:pt idx="8">
                  <c:v>4.8182713658446996</c:v>
                </c:pt>
                <c:pt idx="9">
                  <c:v>4.6844304945712354</c:v>
                </c:pt>
                <c:pt idx="10">
                  <c:v>4.5505896232977721</c:v>
                </c:pt>
                <c:pt idx="11">
                  <c:v>4.4167487520243078</c:v>
                </c:pt>
                <c:pt idx="12">
                  <c:v>4.2829078807508436</c:v>
                </c:pt>
                <c:pt idx="13">
                  <c:v>4.1490670094773803</c:v>
                </c:pt>
                <c:pt idx="14">
                  <c:v>4.0152261382039161</c:v>
                </c:pt>
                <c:pt idx="15">
                  <c:v>3.8813852669304523</c:v>
                </c:pt>
                <c:pt idx="16">
                  <c:v>3.7475443956569885</c:v>
                </c:pt>
                <c:pt idx="17">
                  <c:v>3.6137035243835247</c:v>
                </c:pt>
                <c:pt idx="18">
                  <c:v>3.4798626531100605</c:v>
                </c:pt>
                <c:pt idx="19">
                  <c:v>3.3460217818365967</c:v>
                </c:pt>
                <c:pt idx="20">
                  <c:v>3.2121809105631329</c:v>
                </c:pt>
                <c:pt idx="21">
                  <c:v>3.0783400392896691</c:v>
                </c:pt>
                <c:pt idx="22">
                  <c:v>2.9444991680162054</c:v>
                </c:pt>
                <c:pt idx="23">
                  <c:v>2.8106582967427411</c:v>
                </c:pt>
                <c:pt idx="24">
                  <c:v>2.6768174254692774</c:v>
                </c:pt>
                <c:pt idx="25">
                  <c:v>2.5429765541958136</c:v>
                </c:pt>
                <c:pt idx="26">
                  <c:v>2.4091356829223498</c:v>
                </c:pt>
                <c:pt idx="27">
                  <c:v>2.275294811648886</c:v>
                </c:pt>
                <c:pt idx="28">
                  <c:v>2.1414539403754218</c:v>
                </c:pt>
                <c:pt idx="29">
                  <c:v>2.007613069101958</c:v>
                </c:pt>
                <c:pt idx="30">
                  <c:v>1.8737721978284942</c:v>
                </c:pt>
                <c:pt idx="31">
                  <c:v>1.7399313265550302</c:v>
                </c:pt>
                <c:pt idx="32">
                  <c:v>1.6060904552815665</c:v>
                </c:pt>
                <c:pt idx="33">
                  <c:v>1.4722495840081027</c:v>
                </c:pt>
                <c:pt idx="34">
                  <c:v>1.3384087127346387</c:v>
                </c:pt>
                <c:pt idx="35">
                  <c:v>1.2045678414611749</c:v>
                </c:pt>
                <c:pt idx="36">
                  <c:v>1.0707269701877109</c:v>
                </c:pt>
                <c:pt idx="37">
                  <c:v>0.93688609891424712</c:v>
                </c:pt>
                <c:pt idx="38">
                  <c:v>0.80304522764078323</c:v>
                </c:pt>
                <c:pt idx="39">
                  <c:v>0.66920435636731934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7CE-44E3-8584-74CA419F4873}"/>
            </c:ext>
          </c:extLst>
        </c:ser>
        <c:ser>
          <c:idx val="11"/>
          <c:order val="8"/>
          <c:tx>
            <c:strRef>
              <c:f>'Podstawowe dane'!$J$247</c:f>
              <c:strCache>
                <c:ptCount val="1"/>
                <c:pt idx="0">
                  <c:v> WARIANT 9 </c:v>
                </c:pt>
              </c:strCache>
            </c:strRef>
          </c:tx>
          <c:marker>
            <c:symbol val="none"/>
          </c:marker>
          <c:xVal>
            <c:numRef>
              <c:f>'Podstawowe dane'!$A$248:$A$287</c:f>
              <c:numCache>
                <c:formatCode>_(* #,##0.00_);_(* \(#,##0.00\);_(* "-"??_);_(@_)</c:formatCode>
                <c:ptCount val="40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</c:numCache>
            </c:numRef>
          </c:xVal>
          <c:yVal>
            <c:numRef>
              <c:f>'Podstawowe dane'!$J$248:$J$287</c:f>
              <c:numCache>
                <c:formatCode>_(* #,##0.00_);_(* \(#,##0.00\);_(* "-"??_);_(@_)</c:formatCode>
                <c:ptCount val="40"/>
                <c:pt idx="0">
                  <c:v>7.2465749504802526</c:v>
                </c:pt>
                <c:pt idx="1">
                  <c:v>7.081880065242065</c:v>
                </c:pt>
                <c:pt idx="2">
                  <c:v>6.9171851800038775</c:v>
                </c:pt>
                <c:pt idx="3">
                  <c:v>6.75249029476569</c:v>
                </c:pt>
                <c:pt idx="4">
                  <c:v>6.5877954095275024</c:v>
                </c:pt>
                <c:pt idx="5">
                  <c:v>6.4231005242893149</c:v>
                </c:pt>
                <c:pt idx="6">
                  <c:v>6.2584056390511273</c:v>
                </c:pt>
                <c:pt idx="7">
                  <c:v>6.0937107538129398</c:v>
                </c:pt>
                <c:pt idx="8">
                  <c:v>5.9290158685747523</c:v>
                </c:pt>
                <c:pt idx="9">
                  <c:v>5.7643209833365647</c:v>
                </c:pt>
                <c:pt idx="10">
                  <c:v>5.5996260980983772</c:v>
                </c:pt>
                <c:pt idx="11">
                  <c:v>5.4349312128601897</c:v>
                </c:pt>
                <c:pt idx="12">
                  <c:v>5.2702363276220021</c:v>
                </c:pt>
                <c:pt idx="13">
                  <c:v>5.1055414423838146</c:v>
                </c:pt>
                <c:pt idx="14">
                  <c:v>4.940846557145627</c:v>
                </c:pt>
                <c:pt idx="15">
                  <c:v>4.7761516719074395</c:v>
                </c:pt>
                <c:pt idx="16">
                  <c:v>4.611456786669252</c:v>
                </c:pt>
                <c:pt idx="17">
                  <c:v>4.4467619014310644</c:v>
                </c:pt>
                <c:pt idx="18">
                  <c:v>4.2820670161928769</c:v>
                </c:pt>
                <c:pt idx="19">
                  <c:v>4.1173721309546893</c:v>
                </c:pt>
                <c:pt idx="20">
                  <c:v>3.9526772457165014</c:v>
                </c:pt>
                <c:pt idx="21">
                  <c:v>3.7879823604783138</c:v>
                </c:pt>
                <c:pt idx="22">
                  <c:v>3.6232874752401263</c:v>
                </c:pt>
                <c:pt idx="23">
                  <c:v>3.4585925900019387</c:v>
                </c:pt>
                <c:pt idx="24">
                  <c:v>3.2938977047637512</c:v>
                </c:pt>
                <c:pt idx="25">
                  <c:v>3.1292028195255637</c:v>
                </c:pt>
                <c:pt idx="26">
                  <c:v>2.9645079342873761</c:v>
                </c:pt>
                <c:pt idx="27">
                  <c:v>2.7998130490491886</c:v>
                </c:pt>
                <c:pt idx="28">
                  <c:v>2.6351181638110011</c:v>
                </c:pt>
                <c:pt idx="29">
                  <c:v>2.4704232785728135</c:v>
                </c:pt>
                <c:pt idx="30">
                  <c:v>2.305728393334626</c:v>
                </c:pt>
                <c:pt idx="31">
                  <c:v>2.1410335080964384</c:v>
                </c:pt>
                <c:pt idx="32">
                  <c:v>1.9763386228582507</c:v>
                </c:pt>
                <c:pt idx="33">
                  <c:v>1.8116437376200631</c:v>
                </c:pt>
                <c:pt idx="34">
                  <c:v>1.6469488523818756</c:v>
                </c:pt>
                <c:pt idx="35">
                  <c:v>1.4822539671436881</c:v>
                </c:pt>
                <c:pt idx="36">
                  <c:v>1.3175590819055005</c:v>
                </c:pt>
                <c:pt idx="37">
                  <c:v>1.152864196667313</c:v>
                </c:pt>
                <c:pt idx="38">
                  <c:v>0.98816931142912534</c:v>
                </c:pt>
                <c:pt idx="39">
                  <c:v>0.8234744261909378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7CE-44E3-8584-74CA419F4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0144"/>
        <c:axId val="71432064"/>
      </c:scatterChart>
      <c:valAx>
        <c:axId val="7143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 sz="1050"/>
                  <a:t>Temperatura [⁰C]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71432064"/>
        <c:crosses val="autoZero"/>
        <c:crossBetween val="midCat"/>
      </c:valAx>
      <c:valAx>
        <c:axId val="7143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 sz="1200"/>
                  <a:t>Strumień</a:t>
                </a:r>
                <a:r>
                  <a:rPr lang="pl-PL" sz="1200" baseline="0"/>
                  <a:t> </a:t>
                </a:r>
                <a:r>
                  <a:rPr lang="pl-PL" sz="1200"/>
                  <a:t> przenikania ciepła [W/m^2]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71430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Koszt</a:t>
            </a:r>
            <a:r>
              <a:rPr lang="pl-PL" baseline="0"/>
              <a:t> materiału i koszt ogrzewania na przestrzeni 50 lat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'Podstawowe dane'!$B$178</c:f>
              <c:strCache>
                <c:ptCount val="1"/>
                <c:pt idx="0">
                  <c:v> WARIANT 1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'Podstawowe dane'!$A$179:$A$229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'Podstawowe dane'!$B$179:$B$229</c:f>
              <c:numCache>
                <c:formatCode>#\ ##0.00\ "zł"</c:formatCode>
                <c:ptCount val="51"/>
                <c:pt idx="0">
                  <c:v>33566.339999999997</c:v>
                </c:pt>
                <c:pt idx="1">
                  <c:v>35077.62926792958</c:v>
                </c:pt>
                <c:pt idx="2">
                  <c:v>36588.918535859157</c:v>
                </c:pt>
                <c:pt idx="3">
                  <c:v>38100.20780378874</c:v>
                </c:pt>
                <c:pt idx="4">
                  <c:v>39611.497071718317</c:v>
                </c:pt>
                <c:pt idx="5">
                  <c:v>41122.786339647901</c:v>
                </c:pt>
                <c:pt idx="6">
                  <c:v>42634.075607577477</c:v>
                </c:pt>
                <c:pt idx="7">
                  <c:v>44145.364875507061</c:v>
                </c:pt>
                <c:pt idx="8">
                  <c:v>45656.654143436637</c:v>
                </c:pt>
                <c:pt idx="9">
                  <c:v>47167.943411366221</c:v>
                </c:pt>
                <c:pt idx="10">
                  <c:v>48679.232679295797</c:v>
                </c:pt>
                <c:pt idx="11">
                  <c:v>50190.521947225381</c:v>
                </c:pt>
                <c:pt idx="12">
                  <c:v>51701.811215154958</c:v>
                </c:pt>
                <c:pt idx="13">
                  <c:v>53213.100483084541</c:v>
                </c:pt>
                <c:pt idx="14">
                  <c:v>54724.389751014125</c:v>
                </c:pt>
                <c:pt idx="15">
                  <c:v>56235.679018943702</c:v>
                </c:pt>
                <c:pt idx="16">
                  <c:v>57746.968286873278</c:v>
                </c:pt>
                <c:pt idx="17">
                  <c:v>59258.257554802862</c:v>
                </c:pt>
                <c:pt idx="18">
                  <c:v>60769.546822732445</c:v>
                </c:pt>
                <c:pt idx="19">
                  <c:v>62280.836090662022</c:v>
                </c:pt>
                <c:pt idx="20">
                  <c:v>63792.125358591598</c:v>
                </c:pt>
                <c:pt idx="21">
                  <c:v>65303.414626521182</c:v>
                </c:pt>
                <c:pt idx="22">
                  <c:v>66814.703894450766</c:v>
                </c:pt>
                <c:pt idx="23">
                  <c:v>68325.993162380342</c:v>
                </c:pt>
                <c:pt idx="24">
                  <c:v>69837.282430309919</c:v>
                </c:pt>
                <c:pt idx="25">
                  <c:v>71348.57169823951</c:v>
                </c:pt>
                <c:pt idx="26">
                  <c:v>72859.860966169086</c:v>
                </c:pt>
                <c:pt idx="27">
                  <c:v>74371.150234098663</c:v>
                </c:pt>
                <c:pt idx="28">
                  <c:v>75882.439502028254</c:v>
                </c:pt>
                <c:pt idx="29">
                  <c:v>77393.728769957816</c:v>
                </c:pt>
                <c:pt idx="30">
                  <c:v>78905.018037887407</c:v>
                </c:pt>
                <c:pt idx="31">
                  <c:v>80416.307305816983</c:v>
                </c:pt>
                <c:pt idx="32">
                  <c:v>81927.596573746559</c:v>
                </c:pt>
                <c:pt idx="33">
                  <c:v>83438.88584167615</c:v>
                </c:pt>
                <c:pt idx="34">
                  <c:v>84950.175109605727</c:v>
                </c:pt>
                <c:pt idx="35">
                  <c:v>86461.464377535303</c:v>
                </c:pt>
                <c:pt idx="36">
                  <c:v>87972.753645464894</c:v>
                </c:pt>
                <c:pt idx="37">
                  <c:v>89484.042913394471</c:v>
                </c:pt>
                <c:pt idx="38">
                  <c:v>90995.332181324047</c:v>
                </c:pt>
                <c:pt idx="39">
                  <c:v>92506.621449253638</c:v>
                </c:pt>
                <c:pt idx="40">
                  <c:v>94017.9107171832</c:v>
                </c:pt>
                <c:pt idx="41">
                  <c:v>95529.199985112791</c:v>
                </c:pt>
                <c:pt idx="42">
                  <c:v>97040.489253042368</c:v>
                </c:pt>
                <c:pt idx="43">
                  <c:v>98551.778520971944</c:v>
                </c:pt>
                <c:pt idx="44">
                  <c:v>100063.06778890154</c:v>
                </c:pt>
                <c:pt idx="45">
                  <c:v>101574.35705683111</c:v>
                </c:pt>
                <c:pt idx="46">
                  <c:v>103085.64632476069</c:v>
                </c:pt>
                <c:pt idx="47">
                  <c:v>104596.93559269026</c:v>
                </c:pt>
                <c:pt idx="48">
                  <c:v>106108.22486061986</c:v>
                </c:pt>
                <c:pt idx="49">
                  <c:v>107619.51412854943</c:v>
                </c:pt>
                <c:pt idx="50">
                  <c:v>109130.80339647901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7A-4A4B-94C6-2F65A00D1789}"/>
            </c:ext>
          </c:extLst>
        </c:ser>
        <c:ser>
          <c:idx val="1"/>
          <c:order val="1"/>
          <c:tx>
            <c:strRef>
              <c:f>'Podstawowe dane'!$C$178</c:f>
              <c:strCache>
                <c:ptCount val="1"/>
                <c:pt idx="0">
                  <c:v> WARIANT 2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'Podstawowe dane'!$A$179:$A$229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'Podstawowe dane'!$C$179:$C$229</c:f>
              <c:numCache>
                <c:formatCode>#\ ##0.00\ "zł"</c:formatCode>
                <c:ptCount val="51"/>
                <c:pt idx="0">
                  <c:v>34853.94</c:v>
                </c:pt>
                <c:pt idx="1">
                  <c:v>36067.083845063476</c:v>
                </c:pt>
                <c:pt idx="2">
                  <c:v>37280.227690126951</c:v>
                </c:pt>
                <c:pt idx="3">
                  <c:v>38493.371535190425</c:v>
                </c:pt>
                <c:pt idx="4">
                  <c:v>39706.515380253899</c:v>
                </c:pt>
                <c:pt idx="5">
                  <c:v>40919.659225317373</c:v>
                </c:pt>
                <c:pt idx="6">
                  <c:v>42132.803070380847</c:v>
                </c:pt>
                <c:pt idx="7">
                  <c:v>43345.946915444314</c:v>
                </c:pt>
                <c:pt idx="8">
                  <c:v>44559.090760507788</c:v>
                </c:pt>
                <c:pt idx="9">
                  <c:v>45772.234605571262</c:v>
                </c:pt>
                <c:pt idx="10">
                  <c:v>46985.378450634737</c:v>
                </c:pt>
                <c:pt idx="11">
                  <c:v>48198.522295698211</c:v>
                </c:pt>
                <c:pt idx="12">
                  <c:v>49411.666140761685</c:v>
                </c:pt>
                <c:pt idx="13">
                  <c:v>50624.809985825159</c:v>
                </c:pt>
                <c:pt idx="14">
                  <c:v>51837.953830888626</c:v>
                </c:pt>
                <c:pt idx="15">
                  <c:v>53051.0976759521</c:v>
                </c:pt>
                <c:pt idx="16">
                  <c:v>54264.241521015574</c:v>
                </c:pt>
                <c:pt idx="17">
                  <c:v>55477.385366079048</c:v>
                </c:pt>
                <c:pt idx="18">
                  <c:v>56690.529211142522</c:v>
                </c:pt>
                <c:pt idx="19">
                  <c:v>57903.673056205997</c:v>
                </c:pt>
                <c:pt idx="20">
                  <c:v>59116.816901269471</c:v>
                </c:pt>
                <c:pt idx="21">
                  <c:v>60329.960746332945</c:v>
                </c:pt>
                <c:pt idx="22">
                  <c:v>61543.104591396419</c:v>
                </c:pt>
                <c:pt idx="23">
                  <c:v>62756.248436459893</c:v>
                </c:pt>
                <c:pt idx="24">
                  <c:v>63969.392281523367</c:v>
                </c:pt>
                <c:pt idx="25">
                  <c:v>65182.536126586841</c:v>
                </c:pt>
                <c:pt idx="26">
                  <c:v>66395.679971650316</c:v>
                </c:pt>
                <c:pt idx="27">
                  <c:v>67608.82381671379</c:v>
                </c:pt>
                <c:pt idx="28">
                  <c:v>68821.967661777249</c:v>
                </c:pt>
                <c:pt idx="29">
                  <c:v>70035.111506840738</c:v>
                </c:pt>
                <c:pt idx="30">
                  <c:v>71248.255351904198</c:v>
                </c:pt>
                <c:pt idx="31">
                  <c:v>72461.399196967686</c:v>
                </c:pt>
                <c:pt idx="32">
                  <c:v>73674.543042031146</c:v>
                </c:pt>
                <c:pt idx="33">
                  <c:v>74887.686887094635</c:v>
                </c:pt>
                <c:pt idx="34">
                  <c:v>76100.830732158094</c:v>
                </c:pt>
                <c:pt idx="35">
                  <c:v>77313.974577221583</c:v>
                </c:pt>
                <c:pt idx="36">
                  <c:v>78527.118422285042</c:v>
                </c:pt>
                <c:pt idx="37">
                  <c:v>79740.262267348531</c:v>
                </c:pt>
                <c:pt idx="38">
                  <c:v>80953.406112411991</c:v>
                </c:pt>
                <c:pt idx="39">
                  <c:v>82166.549957475465</c:v>
                </c:pt>
                <c:pt idx="40">
                  <c:v>83379.693802538939</c:v>
                </c:pt>
                <c:pt idx="41">
                  <c:v>84592.837647602413</c:v>
                </c:pt>
                <c:pt idx="42">
                  <c:v>85805.981492665887</c:v>
                </c:pt>
                <c:pt idx="43">
                  <c:v>87019.125337729361</c:v>
                </c:pt>
                <c:pt idx="44">
                  <c:v>88232.269182792836</c:v>
                </c:pt>
                <c:pt idx="45">
                  <c:v>89445.41302785631</c:v>
                </c:pt>
                <c:pt idx="46">
                  <c:v>90658.556872919784</c:v>
                </c:pt>
                <c:pt idx="47">
                  <c:v>91871.700717983258</c:v>
                </c:pt>
                <c:pt idx="48">
                  <c:v>93084.844563046732</c:v>
                </c:pt>
                <c:pt idx="49">
                  <c:v>94297.988408110192</c:v>
                </c:pt>
                <c:pt idx="50">
                  <c:v>95511.132253173681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A-4A4B-94C6-2F65A00D1789}"/>
            </c:ext>
          </c:extLst>
        </c:ser>
        <c:ser>
          <c:idx val="2"/>
          <c:order val="2"/>
          <c:tx>
            <c:strRef>
              <c:f>'Podstawowe dane'!$D$178</c:f>
              <c:strCache>
                <c:ptCount val="1"/>
                <c:pt idx="0">
                  <c:v> WARIANT 3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'Podstawowe dane'!$A$179:$A$229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'Podstawowe dane'!$D$179:$D$229</c:f>
              <c:numCache>
                <c:formatCode>#\ ##0.00\ "zł"</c:formatCode>
                <c:ptCount val="51"/>
                <c:pt idx="0">
                  <c:v>36143.279999999999</c:v>
                </c:pt>
                <c:pt idx="1">
                  <c:v>37790.7488171597</c:v>
                </c:pt>
                <c:pt idx="2">
                  <c:v>39438.217634319401</c:v>
                </c:pt>
                <c:pt idx="3">
                  <c:v>41085.686451479109</c:v>
                </c:pt>
                <c:pt idx="4">
                  <c:v>42733.15526863881</c:v>
                </c:pt>
                <c:pt idx="5">
                  <c:v>44380.62408579851</c:v>
                </c:pt>
                <c:pt idx="6">
                  <c:v>46028.092902958211</c:v>
                </c:pt>
                <c:pt idx="7">
                  <c:v>47675.561720117912</c:v>
                </c:pt>
                <c:pt idx="8">
                  <c:v>49323.03053727762</c:v>
                </c:pt>
                <c:pt idx="9">
                  <c:v>50970.499354437321</c:v>
                </c:pt>
                <c:pt idx="10">
                  <c:v>52617.968171597022</c:v>
                </c:pt>
                <c:pt idx="11">
                  <c:v>54265.43698875673</c:v>
                </c:pt>
                <c:pt idx="12">
                  <c:v>55912.905805916424</c:v>
                </c:pt>
                <c:pt idx="13">
                  <c:v>57560.374623076132</c:v>
                </c:pt>
                <c:pt idx="14">
                  <c:v>59207.843440235833</c:v>
                </c:pt>
                <c:pt idx="15">
                  <c:v>60855.312257395533</c:v>
                </c:pt>
                <c:pt idx="16">
                  <c:v>62502.781074555242</c:v>
                </c:pt>
                <c:pt idx="17">
                  <c:v>64150.249891714935</c:v>
                </c:pt>
                <c:pt idx="18">
                  <c:v>65797.718708874643</c:v>
                </c:pt>
                <c:pt idx="19">
                  <c:v>67445.187526034337</c:v>
                </c:pt>
                <c:pt idx="20">
                  <c:v>69092.656343194045</c:v>
                </c:pt>
                <c:pt idx="21">
                  <c:v>70740.125160353753</c:v>
                </c:pt>
                <c:pt idx="22">
                  <c:v>72387.593977513461</c:v>
                </c:pt>
                <c:pt idx="23">
                  <c:v>74035.062794673155</c:v>
                </c:pt>
                <c:pt idx="24">
                  <c:v>75682.531611832848</c:v>
                </c:pt>
                <c:pt idx="25">
                  <c:v>77330.000428992556</c:v>
                </c:pt>
                <c:pt idx="26">
                  <c:v>78977.469246152265</c:v>
                </c:pt>
                <c:pt idx="27">
                  <c:v>80624.938063311973</c:v>
                </c:pt>
                <c:pt idx="28">
                  <c:v>82272.406880471666</c:v>
                </c:pt>
                <c:pt idx="29">
                  <c:v>83919.87569763136</c:v>
                </c:pt>
                <c:pt idx="30">
                  <c:v>85567.344514791068</c:v>
                </c:pt>
                <c:pt idx="31">
                  <c:v>87214.813331950776</c:v>
                </c:pt>
                <c:pt idx="32">
                  <c:v>88862.282149110484</c:v>
                </c:pt>
                <c:pt idx="33">
                  <c:v>90509.750966270178</c:v>
                </c:pt>
                <c:pt idx="34">
                  <c:v>92157.219783429871</c:v>
                </c:pt>
                <c:pt idx="35">
                  <c:v>93804.688600589579</c:v>
                </c:pt>
                <c:pt idx="36">
                  <c:v>95452.157417749288</c:v>
                </c:pt>
                <c:pt idx="37">
                  <c:v>97099.626234908996</c:v>
                </c:pt>
                <c:pt idx="38">
                  <c:v>98747.095052068689</c:v>
                </c:pt>
                <c:pt idx="39">
                  <c:v>100394.5638692284</c:v>
                </c:pt>
                <c:pt idx="40">
                  <c:v>102042.03268638809</c:v>
                </c:pt>
                <c:pt idx="41">
                  <c:v>103689.5015035478</c:v>
                </c:pt>
                <c:pt idx="42">
                  <c:v>105336.97032070751</c:v>
                </c:pt>
                <c:pt idx="43">
                  <c:v>106984.4391378672</c:v>
                </c:pt>
                <c:pt idx="44">
                  <c:v>108631.90795502691</c:v>
                </c:pt>
                <c:pt idx="45">
                  <c:v>110279.3767721866</c:v>
                </c:pt>
                <c:pt idx="46">
                  <c:v>111926.84558934631</c:v>
                </c:pt>
                <c:pt idx="47">
                  <c:v>113574.31440650602</c:v>
                </c:pt>
                <c:pt idx="48">
                  <c:v>115221.78322366571</c:v>
                </c:pt>
                <c:pt idx="49">
                  <c:v>116869.25204082542</c:v>
                </c:pt>
                <c:pt idx="50">
                  <c:v>118516.72085798511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7A-4A4B-94C6-2F65A00D1789}"/>
            </c:ext>
          </c:extLst>
        </c:ser>
        <c:ser>
          <c:idx val="3"/>
          <c:order val="3"/>
          <c:tx>
            <c:strRef>
              <c:f>'Podstawowe dane'!$E$178</c:f>
              <c:strCache>
                <c:ptCount val="1"/>
                <c:pt idx="0">
                  <c:v> WARIANT 4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'Podstawowe dane'!$A$179:$A$229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'Podstawowe dane'!$E$179:$E$229</c:f>
              <c:numCache>
                <c:formatCode>#\ ##0.00\ "zł"</c:formatCode>
                <c:ptCount val="51"/>
                <c:pt idx="0">
                  <c:v>36698.339999999997</c:v>
                </c:pt>
                <c:pt idx="1">
                  <c:v>37968.071262443438</c:v>
                </c:pt>
                <c:pt idx="2">
                  <c:v>39237.80252488688</c:v>
                </c:pt>
                <c:pt idx="3">
                  <c:v>40507.533787330314</c:v>
                </c:pt>
                <c:pt idx="4">
                  <c:v>41777.265049773756</c:v>
                </c:pt>
                <c:pt idx="5">
                  <c:v>43046.996312217198</c:v>
                </c:pt>
                <c:pt idx="6">
                  <c:v>44316.727574660639</c:v>
                </c:pt>
                <c:pt idx="7">
                  <c:v>45586.458837104081</c:v>
                </c:pt>
                <c:pt idx="8">
                  <c:v>46856.190099547515</c:v>
                </c:pt>
                <c:pt idx="9">
                  <c:v>48125.921361990957</c:v>
                </c:pt>
                <c:pt idx="10">
                  <c:v>49395.652624434399</c:v>
                </c:pt>
                <c:pt idx="11">
                  <c:v>50665.38388687784</c:v>
                </c:pt>
                <c:pt idx="12">
                  <c:v>51935.115149321282</c:v>
                </c:pt>
                <c:pt idx="13">
                  <c:v>53204.846411764724</c:v>
                </c:pt>
                <c:pt idx="14">
                  <c:v>54474.577674208165</c:v>
                </c:pt>
                <c:pt idx="15">
                  <c:v>55744.3089366516</c:v>
                </c:pt>
                <c:pt idx="16">
                  <c:v>57014.040199095041</c:v>
                </c:pt>
                <c:pt idx="17">
                  <c:v>58283.771461538483</c:v>
                </c:pt>
                <c:pt idx="18">
                  <c:v>59553.502723981917</c:v>
                </c:pt>
                <c:pt idx="19">
                  <c:v>60823.233986425359</c:v>
                </c:pt>
                <c:pt idx="20">
                  <c:v>62092.965248868801</c:v>
                </c:pt>
                <c:pt idx="21">
                  <c:v>63362.696511312242</c:v>
                </c:pt>
                <c:pt idx="22">
                  <c:v>64632.427773755684</c:v>
                </c:pt>
                <c:pt idx="23">
                  <c:v>65902.159036199126</c:v>
                </c:pt>
                <c:pt idx="24">
                  <c:v>67171.890298642567</c:v>
                </c:pt>
                <c:pt idx="25">
                  <c:v>68441.621561086009</c:v>
                </c:pt>
                <c:pt idx="26">
                  <c:v>69711.352823529451</c:v>
                </c:pt>
                <c:pt idx="27">
                  <c:v>70981.084085972892</c:v>
                </c:pt>
                <c:pt idx="28">
                  <c:v>72250.815348416334</c:v>
                </c:pt>
                <c:pt idx="29">
                  <c:v>73520.546610859776</c:v>
                </c:pt>
                <c:pt idx="30">
                  <c:v>74790.277873303203</c:v>
                </c:pt>
                <c:pt idx="31">
                  <c:v>76060.009135746644</c:v>
                </c:pt>
                <c:pt idx="32">
                  <c:v>77329.740398190086</c:v>
                </c:pt>
                <c:pt idx="33">
                  <c:v>78599.471660633528</c:v>
                </c:pt>
                <c:pt idx="34">
                  <c:v>79869.202923076969</c:v>
                </c:pt>
                <c:pt idx="35">
                  <c:v>81138.934185520397</c:v>
                </c:pt>
                <c:pt idx="36">
                  <c:v>82408.665447963838</c:v>
                </c:pt>
                <c:pt idx="37">
                  <c:v>83678.39671040728</c:v>
                </c:pt>
                <c:pt idx="38">
                  <c:v>84948.127972850722</c:v>
                </c:pt>
                <c:pt idx="39">
                  <c:v>86217.859235294163</c:v>
                </c:pt>
                <c:pt idx="40">
                  <c:v>87487.590497737605</c:v>
                </c:pt>
                <c:pt idx="41">
                  <c:v>88757.321760181047</c:v>
                </c:pt>
                <c:pt idx="42">
                  <c:v>90027.053022624488</c:v>
                </c:pt>
                <c:pt idx="43">
                  <c:v>91296.78428506793</c:v>
                </c:pt>
                <c:pt idx="44">
                  <c:v>92566.515547511372</c:v>
                </c:pt>
                <c:pt idx="45">
                  <c:v>93836.246809954813</c:v>
                </c:pt>
                <c:pt idx="46">
                  <c:v>95105.978072398255</c:v>
                </c:pt>
                <c:pt idx="47">
                  <c:v>96375.709334841697</c:v>
                </c:pt>
                <c:pt idx="48">
                  <c:v>97645.440597285138</c:v>
                </c:pt>
                <c:pt idx="49">
                  <c:v>98915.17185972858</c:v>
                </c:pt>
                <c:pt idx="50">
                  <c:v>100184.90312217202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7A-4A4B-94C6-2F65A00D1789}"/>
            </c:ext>
          </c:extLst>
        </c:ser>
        <c:ser>
          <c:idx val="4"/>
          <c:order val="4"/>
          <c:tx>
            <c:strRef>
              <c:f>'Podstawowe dane'!$F$178</c:f>
              <c:strCache>
                <c:ptCount val="1"/>
                <c:pt idx="0">
                  <c:v> WARIANT 5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'Podstawowe dane'!$A$179:$A$229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'Podstawowe dane'!$F$179:$F$229</c:f>
              <c:numCache>
                <c:formatCode>#\ ##0.00\ "zł"</c:formatCode>
                <c:ptCount val="51"/>
                <c:pt idx="0">
                  <c:v>37985.94</c:v>
                </c:pt>
                <c:pt idx="1">
                  <c:v>39038.365424924079</c:v>
                </c:pt>
                <c:pt idx="2">
                  <c:v>40090.790849848156</c:v>
                </c:pt>
                <c:pt idx="3">
                  <c:v>41143.21627477224</c:v>
                </c:pt>
                <c:pt idx="4">
                  <c:v>42195.641699696316</c:v>
                </c:pt>
                <c:pt idx="5">
                  <c:v>43248.067124620393</c:v>
                </c:pt>
                <c:pt idx="6">
                  <c:v>44300.49254954447</c:v>
                </c:pt>
                <c:pt idx="7">
                  <c:v>45352.917974468553</c:v>
                </c:pt>
                <c:pt idx="8">
                  <c:v>46405.34339939263</c:v>
                </c:pt>
                <c:pt idx="9">
                  <c:v>47457.768824316707</c:v>
                </c:pt>
                <c:pt idx="10">
                  <c:v>48510.194249240783</c:v>
                </c:pt>
                <c:pt idx="11">
                  <c:v>49562.61967416486</c:v>
                </c:pt>
                <c:pt idx="12">
                  <c:v>50615.045099088937</c:v>
                </c:pt>
                <c:pt idx="13">
                  <c:v>51667.470524013021</c:v>
                </c:pt>
                <c:pt idx="14">
                  <c:v>52719.895948937097</c:v>
                </c:pt>
                <c:pt idx="15">
                  <c:v>53772.321373861174</c:v>
                </c:pt>
                <c:pt idx="16">
                  <c:v>54824.746798785258</c:v>
                </c:pt>
                <c:pt idx="17">
                  <c:v>55877.172223709335</c:v>
                </c:pt>
                <c:pt idx="18">
                  <c:v>56929.597648633411</c:v>
                </c:pt>
                <c:pt idx="19">
                  <c:v>57982.023073557488</c:v>
                </c:pt>
                <c:pt idx="20">
                  <c:v>59034.448498481564</c:v>
                </c:pt>
                <c:pt idx="21">
                  <c:v>60086.873923405641</c:v>
                </c:pt>
                <c:pt idx="22">
                  <c:v>61139.299348329725</c:v>
                </c:pt>
                <c:pt idx="23">
                  <c:v>62191.724773253802</c:v>
                </c:pt>
                <c:pt idx="24">
                  <c:v>63244.150198177878</c:v>
                </c:pt>
                <c:pt idx="25">
                  <c:v>64296.575623101962</c:v>
                </c:pt>
                <c:pt idx="26">
                  <c:v>65349.001048026039</c:v>
                </c:pt>
                <c:pt idx="27">
                  <c:v>66401.426472950116</c:v>
                </c:pt>
                <c:pt idx="28">
                  <c:v>67453.851897874192</c:v>
                </c:pt>
                <c:pt idx="29">
                  <c:v>68506.277322798269</c:v>
                </c:pt>
                <c:pt idx="30">
                  <c:v>69558.702747722346</c:v>
                </c:pt>
                <c:pt idx="31">
                  <c:v>70611.128172646422</c:v>
                </c:pt>
                <c:pt idx="32">
                  <c:v>71663.553597570513</c:v>
                </c:pt>
                <c:pt idx="33">
                  <c:v>72715.979022494575</c:v>
                </c:pt>
                <c:pt idx="34">
                  <c:v>73768.404447418667</c:v>
                </c:pt>
                <c:pt idx="35">
                  <c:v>74820.829872342743</c:v>
                </c:pt>
                <c:pt idx="36">
                  <c:v>75873.25529726682</c:v>
                </c:pt>
                <c:pt idx="37">
                  <c:v>76925.680722190897</c:v>
                </c:pt>
                <c:pt idx="38">
                  <c:v>77978.106147114973</c:v>
                </c:pt>
                <c:pt idx="39">
                  <c:v>79030.531572039064</c:v>
                </c:pt>
                <c:pt idx="40">
                  <c:v>80082.956996963127</c:v>
                </c:pt>
                <c:pt idx="41">
                  <c:v>81135.382421887218</c:v>
                </c:pt>
                <c:pt idx="42">
                  <c:v>82187.80784681128</c:v>
                </c:pt>
                <c:pt idx="43">
                  <c:v>83240.233271735371</c:v>
                </c:pt>
                <c:pt idx="44">
                  <c:v>84292.658696659448</c:v>
                </c:pt>
                <c:pt idx="45">
                  <c:v>85345.084121583524</c:v>
                </c:pt>
                <c:pt idx="46">
                  <c:v>86397.509546507601</c:v>
                </c:pt>
                <c:pt idx="47">
                  <c:v>87449.934971431678</c:v>
                </c:pt>
                <c:pt idx="48">
                  <c:v>88502.360396355754</c:v>
                </c:pt>
                <c:pt idx="49">
                  <c:v>89554.785821279831</c:v>
                </c:pt>
                <c:pt idx="50">
                  <c:v>90607.211246203922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7A-4A4B-94C6-2F65A00D1789}"/>
            </c:ext>
          </c:extLst>
        </c:ser>
        <c:ser>
          <c:idx val="5"/>
          <c:order val="5"/>
          <c:tx>
            <c:strRef>
              <c:f>'Podstawowe dane'!$G$178</c:f>
              <c:strCache>
                <c:ptCount val="1"/>
                <c:pt idx="0">
                  <c:v> WARIANT 6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'Podstawowe dane'!$A$179:$A$229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'Podstawowe dane'!$G$179:$G$229</c:f>
              <c:numCache>
                <c:formatCode>#\ ##0.00\ "zł"</c:formatCode>
                <c:ptCount val="51"/>
                <c:pt idx="0">
                  <c:v>39275.279999999999</c:v>
                </c:pt>
                <c:pt idx="1">
                  <c:v>40639.772343479701</c:v>
                </c:pt>
                <c:pt idx="2">
                  <c:v>42004.264686959403</c:v>
                </c:pt>
                <c:pt idx="3">
                  <c:v>43368.757030439105</c:v>
                </c:pt>
                <c:pt idx="4">
                  <c:v>44733.249373918807</c:v>
                </c:pt>
                <c:pt idx="5">
                  <c:v>46097.741717398501</c:v>
                </c:pt>
                <c:pt idx="6">
                  <c:v>47462.234060878203</c:v>
                </c:pt>
                <c:pt idx="7">
                  <c:v>48826.726404357905</c:v>
                </c:pt>
                <c:pt idx="8">
                  <c:v>50191.218747837607</c:v>
                </c:pt>
                <c:pt idx="9">
                  <c:v>51555.711091317309</c:v>
                </c:pt>
                <c:pt idx="10">
                  <c:v>52920.203434797011</c:v>
                </c:pt>
                <c:pt idx="11">
                  <c:v>54284.695778276713</c:v>
                </c:pt>
                <c:pt idx="12">
                  <c:v>55649.188121756408</c:v>
                </c:pt>
                <c:pt idx="13">
                  <c:v>57013.680465236117</c:v>
                </c:pt>
                <c:pt idx="14">
                  <c:v>58378.172808715812</c:v>
                </c:pt>
                <c:pt idx="15">
                  <c:v>59742.665152195514</c:v>
                </c:pt>
                <c:pt idx="16">
                  <c:v>61107.157495675216</c:v>
                </c:pt>
                <c:pt idx="17">
                  <c:v>62471.649839154918</c:v>
                </c:pt>
                <c:pt idx="18">
                  <c:v>63836.14218263462</c:v>
                </c:pt>
                <c:pt idx="19">
                  <c:v>65200.634526114314</c:v>
                </c:pt>
                <c:pt idx="20">
                  <c:v>66565.126869594023</c:v>
                </c:pt>
                <c:pt idx="21">
                  <c:v>67929.619213073718</c:v>
                </c:pt>
                <c:pt idx="22">
                  <c:v>69294.111556553427</c:v>
                </c:pt>
                <c:pt idx="23">
                  <c:v>70658.603900033122</c:v>
                </c:pt>
                <c:pt idx="24">
                  <c:v>72023.096243512817</c:v>
                </c:pt>
                <c:pt idx="25">
                  <c:v>73387.588586992526</c:v>
                </c:pt>
                <c:pt idx="26">
                  <c:v>74752.080930472235</c:v>
                </c:pt>
                <c:pt idx="27">
                  <c:v>76116.57327395193</c:v>
                </c:pt>
                <c:pt idx="28">
                  <c:v>77481.065617431625</c:v>
                </c:pt>
                <c:pt idx="29">
                  <c:v>78845.557960911334</c:v>
                </c:pt>
                <c:pt idx="30">
                  <c:v>80210.050304391028</c:v>
                </c:pt>
                <c:pt idx="31">
                  <c:v>81574.542647870723</c:v>
                </c:pt>
                <c:pt idx="32">
                  <c:v>82939.034991350432</c:v>
                </c:pt>
                <c:pt idx="33">
                  <c:v>84303.527334830142</c:v>
                </c:pt>
                <c:pt idx="34">
                  <c:v>85668.019678309836</c:v>
                </c:pt>
                <c:pt idx="35">
                  <c:v>87032.512021789531</c:v>
                </c:pt>
                <c:pt idx="36">
                  <c:v>88397.00436526924</c:v>
                </c:pt>
                <c:pt idx="37">
                  <c:v>89761.496708748935</c:v>
                </c:pt>
                <c:pt idx="38">
                  <c:v>91125.98905222863</c:v>
                </c:pt>
                <c:pt idx="39">
                  <c:v>92490.481395708339</c:v>
                </c:pt>
                <c:pt idx="40">
                  <c:v>93854.973739188048</c:v>
                </c:pt>
                <c:pt idx="41">
                  <c:v>95219.466082667743</c:v>
                </c:pt>
                <c:pt idx="42">
                  <c:v>96583.958426147437</c:v>
                </c:pt>
                <c:pt idx="43">
                  <c:v>97948.450769627147</c:v>
                </c:pt>
                <c:pt idx="44">
                  <c:v>99312.943113106841</c:v>
                </c:pt>
                <c:pt idx="45">
                  <c:v>100677.43545658654</c:v>
                </c:pt>
                <c:pt idx="46">
                  <c:v>102041.92780006625</c:v>
                </c:pt>
                <c:pt idx="47">
                  <c:v>103406.42014354595</c:v>
                </c:pt>
                <c:pt idx="48">
                  <c:v>104770.91248702565</c:v>
                </c:pt>
                <c:pt idx="49">
                  <c:v>106135.40483050534</c:v>
                </c:pt>
                <c:pt idx="50">
                  <c:v>107499.89717398505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7A-4A4B-94C6-2F65A00D1789}"/>
            </c:ext>
          </c:extLst>
        </c:ser>
        <c:ser>
          <c:idx val="6"/>
          <c:order val="6"/>
          <c:tx>
            <c:strRef>
              <c:f>'Podstawowe dane'!$H$178</c:f>
              <c:strCache>
                <c:ptCount val="1"/>
                <c:pt idx="0">
                  <c:v> WARIANT 7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'Podstawowe dane'!$A$179:$A$229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'Podstawowe dane'!$H$179:$H$229</c:f>
              <c:numCache>
                <c:formatCode>#\ ##0.00\ "zł"</c:formatCode>
                <c:ptCount val="51"/>
                <c:pt idx="0">
                  <c:v>41918.339999999997</c:v>
                </c:pt>
                <c:pt idx="1">
                  <c:v>42920.976147865622</c:v>
                </c:pt>
                <c:pt idx="2">
                  <c:v>43923.61229573124</c:v>
                </c:pt>
                <c:pt idx="3">
                  <c:v>44926.248443596865</c:v>
                </c:pt>
                <c:pt idx="4">
                  <c:v>45928.884591462484</c:v>
                </c:pt>
                <c:pt idx="5">
                  <c:v>46931.520739328109</c:v>
                </c:pt>
                <c:pt idx="6">
                  <c:v>47934.156887193734</c:v>
                </c:pt>
                <c:pt idx="7">
                  <c:v>48936.793035059352</c:v>
                </c:pt>
                <c:pt idx="8">
                  <c:v>49939.429182924978</c:v>
                </c:pt>
                <c:pt idx="9">
                  <c:v>50942.065330790603</c:v>
                </c:pt>
                <c:pt idx="10">
                  <c:v>51944.701478656221</c:v>
                </c:pt>
                <c:pt idx="11">
                  <c:v>52947.337626521847</c:v>
                </c:pt>
                <c:pt idx="12">
                  <c:v>53949.973774387472</c:v>
                </c:pt>
                <c:pt idx="13">
                  <c:v>54952.60992225309</c:v>
                </c:pt>
                <c:pt idx="14">
                  <c:v>55955.246070118716</c:v>
                </c:pt>
                <c:pt idx="15">
                  <c:v>56957.882217984341</c:v>
                </c:pt>
                <c:pt idx="16">
                  <c:v>57960.518365849959</c:v>
                </c:pt>
                <c:pt idx="17">
                  <c:v>58963.154513715577</c:v>
                </c:pt>
                <c:pt idx="18">
                  <c:v>59965.790661581203</c:v>
                </c:pt>
                <c:pt idx="19">
                  <c:v>60968.426809446828</c:v>
                </c:pt>
                <c:pt idx="20">
                  <c:v>61971.062957312446</c:v>
                </c:pt>
                <c:pt idx="21">
                  <c:v>62973.699105178071</c:v>
                </c:pt>
                <c:pt idx="22">
                  <c:v>63976.335253043697</c:v>
                </c:pt>
                <c:pt idx="23">
                  <c:v>64978.971400909315</c:v>
                </c:pt>
                <c:pt idx="24">
                  <c:v>65981.607548774948</c:v>
                </c:pt>
                <c:pt idx="25">
                  <c:v>66984.243696640566</c:v>
                </c:pt>
                <c:pt idx="26">
                  <c:v>67986.879844506184</c:v>
                </c:pt>
                <c:pt idx="27">
                  <c:v>68989.515992371802</c:v>
                </c:pt>
                <c:pt idx="28">
                  <c:v>69992.152140237435</c:v>
                </c:pt>
                <c:pt idx="29">
                  <c:v>70994.788288103053</c:v>
                </c:pt>
                <c:pt idx="30">
                  <c:v>71997.424435968685</c:v>
                </c:pt>
                <c:pt idx="31">
                  <c:v>73000.060583834304</c:v>
                </c:pt>
                <c:pt idx="32">
                  <c:v>74002.696731699922</c:v>
                </c:pt>
                <c:pt idx="33">
                  <c:v>75005.33287956554</c:v>
                </c:pt>
                <c:pt idx="34">
                  <c:v>76007.969027431158</c:v>
                </c:pt>
                <c:pt idx="35">
                  <c:v>77010.605175296791</c:v>
                </c:pt>
                <c:pt idx="36">
                  <c:v>78013.241323162409</c:v>
                </c:pt>
                <c:pt idx="37">
                  <c:v>79015.877471028041</c:v>
                </c:pt>
                <c:pt idx="38">
                  <c:v>80018.513618893659</c:v>
                </c:pt>
                <c:pt idx="39">
                  <c:v>81021.149766759278</c:v>
                </c:pt>
                <c:pt idx="40">
                  <c:v>82023.785914624896</c:v>
                </c:pt>
                <c:pt idx="41">
                  <c:v>83026.422062490528</c:v>
                </c:pt>
                <c:pt idx="42">
                  <c:v>84029.058210356146</c:v>
                </c:pt>
                <c:pt idx="43">
                  <c:v>85031.694358221779</c:v>
                </c:pt>
                <c:pt idx="44">
                  <c:v>86034.330506087397</c:v>
                </c:pt>
                <c:pt idx="45">
                  <c:v>87036.966653953015</c:v>
                </c:pt>
                <c:pt idx="46">
                  <c:v>88039.602801818633</c:v>
                </c:pt>
                <c:pt idx="47">
                  <c:v>89042.238949684252</c:v>
                </c:pt>
                <c:pt idx="48">
                  <c:v>90044.875097549884</c:v>
                </c:pt>
                <c:pt idx="49">
                  <c:v>91047.511245415517</c:v>
                </c:pt>
                <c:pt idx="50">
                  <c:v>92050.147393281135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7A-4A4B-94C6-2F65A00D1789}"/>
            </c:ext>
          </c:extLst>
        </c:ser>
        <c:ser>
          <c:idx val="7"/>
          <c:order val="7"/>
          <c:tx>
            <c:strRef>
              <c:f>'Podstawowe dane'!$I$178</c:f>
              <c:strCache>
                <c:ptCount val="1"/>
                <c:pt idx="0">
                  <c:v> WARIANT 8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'Podstawowe dane'!$A$179:$A$229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'Podstawowe dane'!$I$179:$I$229</c:f>
              <c:numCache>
                <c:formatCode>#\ ##0.00\ "zł"</c:formatCode>
                <c:ptCount val="51"/>
                <c:pt idx="0">
                  <c:v>43205.94</c:v>
                </c:pt>
                <c:pt idx="1">
                  <c:v>44068.017403542748</c:v>
                </c:pt>
                <c:pt idx="2">
                  <c:v>44930.094807085501</c:v>
                </c:pt>
                <c:pt idx="3">
                  <c:v>45792.172210628247</c:v>
                </c:pt>
                <c:pt idx="4">
                  <c:v>46654.249614170993</c:v>
                </c:pt>
                <c:pt idx="5">
                  <c:v>47516.327017713746</c:v>
                </c:pt>
                <c:pt idx="6">
                  <c:v>48378.404421256491</c:v>
                </c:pt>
                <c:pt idx="7">
                  <c:v>49240.481824799237</c:v>
                </c:pt>
                <c:pt idx="8">
                  <c:v>50102.55922834199</c:v>
                </c:pt>
                <c:pt idx="9">
                  <c:v>50964.636631884736</c:v>
                </c:pt>
                <c:pt idx="10">
                  <c:v>51826.714035427489</c:v>
                </c:pt>
                <c:pt idx="11">
                  <c:v>52688.791438970235</c:v>
                </c:pt>
                <c:pt idx="12">
                  <c:v>53550.86884251298</c:v>
                </c:pt>
                <c:pt idx="13">
                  <c:v>54412.946246055733</c:v>
                </c:pt>
                <c:pt idx="14">
                  <c:v>55275.023649598479</c:v>
                </c:pt>
                <c:pt idx="15">
                  <c:v>56137.101053141232</c:v>
                </c:pt>
                <c:pt idx="16">
                  <c:v>56999.178456683978</c:v>
                </c:pt>
                <c:pt idx="17">
                  <c:v>57861.255860226724</c:v>
                </c:pt>
                <c:pt idx="18">
                  <c:v>58723.333263769469</c:v>
                </c:pt>
                <c:pt idx="19">
                  <c:v>59585.410667312222</c:v>
                </c:pt>
                <c:pt idx="20">
                  <c:v>60447.488070854968</c:v>
                </c:pt>
                <c:pt idx="21">
                  <c:v>61309.565474397721</c:v>
                </c:pt>
                <c:pt idx="22">
                  <c:v>62171.642877940467</c:v>
                </c:pt>
                <c:pt idx="23">
                  <c:v>63033.720281483213</c:v>
                </c:pt>
                <c:pt idx="24">
                  <c:v>63895.797685025958</c:v>
                </c:pt>
                <c:pt idx="25">
                  <c:v>64757.875088568711</c:v>
                </c:pt>
                <c:pt idx="26">
                  <c:v>65619.952492111464</c:v>
                </c:pt>
                <c:pt idx="27">
                  <c:v>66482.02989565421</c:v>
                </c:pt>
                <c:pt idx="28">
                  <c:v>67344.107299196956</c:v>
                </c:pt>
                <c:pt idx="29">
                  <c:v>68206.184702739702</c:v>
                </c:pt>
                <c:pt idx="30">
                  <c:v>69068.262106282462</c:v>
                </c:pt>
                <c:pt idx="31">
                  <c:v>69930.339509825193</c:v>
                </c:pt>
                <c:pt idx="32">
                  <c:v>70792.416913367953</c:v>
                </c:pt>
                <c:pt idx="33">
                  <c:v>71654.494316910699</c:v>
                </c:pt>
                <c:pt idx="34">
                  <c:v>72516.571720453445</c:v>
                </c:pt>
                <c:pt idx="35">
                  <c:v>73378.649123996191</c:v>
                </c:pt>
                <c:pt idx="36">
                  <c:v>74240.726527538936</c:v>
                </c:pt>
                <c:pt idx="37">
                  <c:v>75102.803931081697</c:v>
                </c:pt>
                <c:pt idx="38">
                  <c:v>75964.881334624442</c:v>
                </c:pt>
                <c:pt idx="39">
                  <c:v>76826.958738167188</c:v>
                </c:pt>
                <c:pt idx="40">
                  <c:v>77689.036141709934</c:v>
                </c:pt>
                <c:pt idx="41">
                  <c:v>78551.11354525268</c:v>
                </c:pt>
                <c:pt idx="42">
                  <c:v>79413.19094879544</c:v>
                </c:pt>
                <c:pt idx="43">
                  <c:v>80275.268352338171</c:v>
                </c:pt>
                <c:pt idx="44">
                  <c:v>81137.345755880931</c:v>
                </c:pt>
                <c:pt idx="45">
                  <c:v>81999.423159423677</c:v>
                </c:pt>
                <c:pt idx="46">
                  <c:v>82861.500562966423</c:v>
                </c:pt>
                <c:pt idx="47">
                  <c:v>83723.577966509183</c:v>
                </c:pt>
                <c:pt idx="48">
                  <c:v>84585.655370051914</c:v>
                </c:pt>
                <c:pt idx="49">
                  <c:v>85447.732773594675</c:v>
                </c:pt>
                <c:pt idx="50">
                  <c:v>86309.81017713742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7A-4A4B-94C6-2F65A00D1789}"/>
            </c:ext>
          </c:extLst>
        </c:ser>
        <c:ser>
          <c:idx val="8"/>
          <c:order val="8"/>
          <c:tx>
            <c:strRef>
              <c:f>'Podstawowe dane'!$J$178</c:f>
              <c:strCache>
                <c:ptCount val="1"/>
                <c:pt idx="0">
                  <c:v> WARIANT 9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'Podstawowe dane'!$A$179:$A$229</c:f>
              <c:numCache>
                <c:formatCode>General</c:formatCode>
                <c:ptCount val="5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'Podstawowe dane'!$J$179:$J$229</c:f>
              <c:numCache>
                <c:formatCode>#\ ##0.00\ "zł"</c:formatCode>
                <c:ptCount val="51"/>
                <c:pt idx="0">
                  <c:v>44495.28</c:v>
                </c:pt>
                <c:pt idx="1">
                  <c:v>45556.090032780005</c:v>
                </c:pt>
                <c:pt idx="2">
                  <c:v>46616.90006556001</c:v>
                </c:pt>
                <c:pt idx="3">
                  <c:v>47677.710098340016</c:v>
                </c:pt>
                <c:pt idx="4">
                  <c:v>48738.520131120022</c:v>
                </c:pt>
                <c:pt idx="5">
                  <c:v>49799.33016390002</c:v>
                </c:pt>
                <c:pt idx="6">
                  <c:v>50860.140196680026</c:v>
                </c:pt>
                <c:pt idx="7">
                  <c:v>51920.950229460032</c:v>
                </c:pt>
                <c:pt idx="8">
                  <c:v>52981.760262240037</c:v>
                </c:pt>
                <c:pt idx="9">
                  <c:v>54042.570295020043</c:v>
                </c:pt>
                <c:pt idx="10">
                  <c:v>55103.380327800049</c:v>
                </c:pt>
                <c:pt idx="11">
                  <c:v>56164.190360580047</c:v>
                </c:pt>
                <c:pt idx="12">
                  <c:v>57225.000393360053</c:v>
                </c:pt>
                <c:pt idx="13">
                  <c:v>58285.810426140059</c:v>
                </c:pt>
                <c:pt idx="14">
                  <c:v>59346.620458920064</c:v>
                </c:pt>
                <c:pt idx="15">
                  <c:v>60407.43049170007</c:v>
                </c:pt>
                <c:pt idx="16">
                  <c:v>61468.240524480076</c:v>
                </c:pt>
                <c:pt idx="17">
                  <c:v>62529.050557260081</c:v>
                </c:pt>
                <c:pt idx="18">
                  <c:v>63589.860590040087</c:v>
                </c:pt>
                <c:pt idx="19">
                  <c:v>64650.670622820093</c:v>
                </c:pt>
                <c:pt idx="20">
                  <c:v>65711.480655600099</c:v>
                </c:pt>
                <c:pt idx="21">
                  <c:v>66772.290688380104</c:v>
                </c:pt>
                <c:pt idx="22">
                  <c:v>67833.100721160095</c:v>
                </c:pt>
                <c:pt idx="23">
                  <c:v>68893.910753940116</c:v>
                </c:pt>
                <c:pt idx="24">
                  <c:v>69954.720786720107</c:v>
                </c:pt>
                <c:pt idx="25">
                  <c:v>71015.530819500127</c:v>
                </c:pt>
                <c:pt idx="26">
                  <c:v>72076.340852280118</c:v>
                </c:pt>
                <c:pt idx="27">
                  <c:v>73137.150885060124</c:v>
                </c:pt>
                <c:pt idx="28">
                  <c:v>74197.96091784013</c:v>
                </c:pt>
                <c:pt idx="29">
                  <c:v>75258.770950620135</c:v>
                </c:pt>
                <c:pt idx="30">
                  <c:v>76319.580983400141</c:v>
                </c:pt>
                <c:pt idx="31">
                  <c:v>77380.391016180147</c:v>
                </c:pt>
                <c:pt idx="32">
                  <c:v>78441.201048960153</c:v>
                </c:pt>
                <c:pt idx="33">
                  <c:v>79502.011081740158</c:v>
                </c:pt>
                <c:pt idx="34">
                  <c:v>80562.821114520164</c:v>
                </c:pt>
                <c:pt idx="35">
                  <c:v>81623.63114730017</c:v>
                </c:pt>
                <c:pt idx="36">
                  <c:v>82684.441180080175</c:v>
                </c:pt>
                <c:pt idx="37">
                  <c:v>83745.251212860167</c:v>
                </c:pt>
                <c:pt idx="38">
                  <c:v>84806.061245640187</c:v>
                </c:pt>
                <c:pt idx="39">
                  <c:v>85866.871278420178</c:v>
                </c:pt>
                <c:pt idx="40">
                  <c:v>86927.681311200198</c:v>
                </c:pt>
                <c:pt idx="41">
                  <c:v>87988.491343980189</c:v>
                </c:pt>
                <c:pt idx="42">
                  <c:v>89049.30137676021</c:v>
                </c:pt>
                <c:pt idx="43">
                  <c:v>90110.111409540201</c:v>
                </c:pt>
                <c:pt idx="44">
                  <c:v>91170.921442320207</c:v>
                </c:pt>
                <c:pt idx="45">
                  <c:v>92231.731475100212</c:v>
                </c:pt>
                <c:pt idx="46">
                  <c:v>93292.541507880218</c:v>
                </c:pt>
                <c:pt idx="47">
                  <c:v>94353.351540660224</c:v>
                </c:pt>
                <c:pt idx="48">
                  <c:v>95414.161573440229</c:v>
                </c:pt>
                <c:pt idx="49">
                  <c:v>96474.971606220235</c:v>
                </c:pt>
                <c:pt idx="50">
                  <c:v>97535.781639000241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97A-4A4B-94C6-2F65A00D1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87872"/>
        <c:axId val="71489408"/>
      </c:lineChart>
      <c:catAx>
        <c:axId val="714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489408"/>
        <c:crosses val="autoZero"/>
        <c:auto val="1"/>
        <c:lblAlgn val="ctr"/>
        <c:lblOffset val="100"/>
        <c:noMultiLvlLbl val="0"/>
      </c:catAx>
      <c:valAx>
        <c:axId val="714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zł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48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Rozkład temperatury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dane'!$O$53:$O$59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25</c:v>
                </c:pt>
                <c:pt idx="3">
                  <c:v>37</c:v>
                </c:pt>
                <c:pt idx="4">
                  <c:v>38</c:v>
                </c:pt>
                <c:pt idx="6">
                  <c:v>0</c:v>
                </c:pt>
              </c:numCache>
            </c:numRef>
          </c:xVal>
          <c:yVal>
            <c:numRef>
              <c:f>'Podstawowe dane'!$Q$53:$Q$59</c:f>
              <c:numCache>
                <c:formatCode>0.00</c:formatCode>
                <c:ptCount val="7"/>
                <c:pt idx="0">
                  <c:v>19.559271992544502</c:v>
                </c:pt>
                <c:pt idx="1">
                  <c:v>19.474516606495367</c:v>
                </c:pt>
                <c:pt idx="2">
                  <c:v>13.215657329020839</c:v>
                </c:pt>
                <c:pt idx="3">
                  <c:v>2.2203640037277452</c:v>
                </c:pt>
                <c:pt idx="4">
                  <c:v>2.13560861767861</c:v>
                </c:pt>
                <c:pt idx="6">
                  <c:v>19.40148429051802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A4-41C7-9F99-5FDB07714CDA}"/>
            </c:ext>
          </c:extLst>
        </c:ser>
        <c:ser>
          <c:idx val="2"/>
          <c:order val="1"/>
          <c:tx>
            <c:strRef>
              <c:f>'Podstawowe dane'!$B$56</c:f>
              <c:strCache>
                <c:ptCount val="1"/>
                <c:pt idx="0">
                  <c:v>Tynk wewnętrzny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dane'!$O$54:$P$54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A4-41C7-9F99-5FDB07714CDA}"/>
            </c:ext>
          </c:extLst>
        </c:ser>
        <c:ser>
          <c:idx val="4"/>
          <c:order val="2"/>
          <c:tx>
            <c:strRef>
              <c:f>'Podstawowe dane'!$B$55</c:f>
              <c:strCache>
                <c:ptCount val="1"/>
                <c:pt idx="0">
                  <c:v>Beton komórkowy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dane'!$O$55:$P$55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A4-41C7-9F99-5FDB07714CDA}"/>
            </c:ext>
          </c:extLst>
        </c:ser>
        <c:ser>
          <c:idx val="3"/>
          <c:order val="3"/>
          <c:tx>
            <c:strRef>
              <c:f>'Podstawowe dane'!$B$54</c:f>
              <c:strCache>
                <c:ptCount val="1"/>
                <c:pt idx="0">
                  <c:v>Styropian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dane'!$O$55:$P$55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A4-41C7-9F99-5FDB07714CDA}"/>
            </c:ext>
          </c:extLst>
        </c:ser>
        <c:ser>
          <c:idx val="0"/>
          <c:order val="4"/>
          <c:tx>
            <c:strRef>
              <c:f>'Podstawowe dane'!$B$53</c:f>
              <c:strCache>
                <c:ptCount val="1"/>
                <c:pt idx="0">
                  <c:v>Tynk zewnętrzny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dane'!$O$56:$P$56</c:f>
              <c:numCache>
                <c:formatCode>General</c:formatCod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A4-41C7-9F99-5FDB07714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21536"/>
        <c:axId val="85523072"/>
      </c:scatterChart>
      <c:valAx>
        <c:axId val="8552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5523072"/>
        <c:crosses val="autoZero"/>
        <c:crossBetween val="midCat"/>
      </c:valAx>
      <c:valAx>
        <c:axId val="8552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5521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Rozkład temperatury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dane'!$O$59:$O$63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26</c:v>
                </c:pt>
                <c:pt idx="3">
                  <c:v>38</c:v>
                </c:pt>
                <c:pt idx="4">
                  <c:v>39</c:v>
                </c:pt>
              </c:numCache>
            </c:numRef>
          </c:xVal>
          <c:yVal>
            <c:numRef>
              <c:f>'Podstawowe dane'!$Q$59:$Q$63</c:f>
              <c:numCache>
                <c:formatCode>0.00</c:formatCode>
                <c:ptCount val="5"/>
                <c:pt idx="0">
                  <c:v>19.40148429051802</c:v>
                </c:pt>
                <c:pt idx="1">
                  <c:v>19.286385115617641</c:v>
                </c:pt>
                <c:pt idx="2">
                  <c:v>17.23104270668227</c:v>
                </c:pt>
                <c:pt idx="3">
                  <c:v>2.2992578547409863</c:v>
                </c:pt>
                <c:pt idx="4">
                  <c:v>2.184158679840607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C2-4A6C-BEE2-D2E8FF2B6C95}"/>
            </c:ext>
          </c:extLst>
        </c:ser>
        <c:ser>
          <c:idx val="2"/>
          <c:order val="1"/>
          <c:tx>
            <c:strRef>
              <c:f>'Podstawowe dane'!$B$62</c:f>
              <c:strCache>
                <c:ptCount val="1"/>
                <c:pt idx="0">
                  <c:v>Tynk wewnętrzny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dane'!$O$60:$P$60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C2-4A6C-BEE2-D2E8FF2B6C95}"/>
            </c:ext>
          </c:extLst>
        </c:ser>
        <c:ser>
          <c:idx val="4"/>
          <c:order val="2"/>
          <c:tx>
            <c:strRef>
              <c:f>'Podstawowe dane'!$B$61</c:f>
              <c:strCache>
                <c:ptCount val="1"/>
                <c:pt idx="0">
                  <c:v>Bloczki silikatowe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dane'!$O$61:$P$61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C2-4A6C-BEE2-D2E8FF2B6C95}"/>
            </c:ext>
          </c:extLst>
        </c:ser>
        <c:ser>
          <c:idx val="3"/>
          <c:order val="3"/>
          <c:tx>
            <c:strRef>
              <c:f>'Podstawowe dane'!$B$60</c:f>
              <c:strCache>
                <c:ptCount val="1"/>
                <c:pt idx="0">
                  <c:v>Styropian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dane'!$O$62:$P$62</c:f>
              <c:numCache>
                <c:formatCode>General</c:formatCod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C2-4A6C-BEE2-D2E8FF2B6C95}"/>
            </c:ext>
          </c:extLst>
        </c:ser>
        <c:ser>
          <c:idx val="0"/>
          <c:order val="4"/>
          <c:tx>
            <c:strRef>
              <c:f>'Podstawowe dane'!$B$59</c:f>
              <c:strCache>
                <c:ptCount val="1"/>
                <c:pt idx="0">
                  <c:v>Tynk zewnętrzny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dane'!$O$63:$P$63</c:f>
              <c:numCache>
                <c:formatCode>General</c:formatCod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C2-4A6C-BEE2-D2E8FF2B6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89536"/>
        <c:axId val="111091072"/>
      </c:scatterChart>
      <c:valAx>
        <c:axId val="11108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1091072"/>
        <c:crosses val="autoZero"/>
        <c:crossBetween val="midCat"/>
      </c:valAx>
      <c:valAx>
        <c:axId val="11109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108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Rozkład temperatury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dane'!$O$65:$O$69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26</c:v>
                </c:pt>
                <c:pt idx="3">
                  <c:v>41</c:v>
                </c:pt>
                <c:pt idx="4">
                  <c:v>42</c:v>
                </c:pt>
              </c:numCache>
            </c:numRef>
          </c:xVal>
          <c:yVal>
            <c:numRef>
              <c:f>'Podstawowe dane'!$Q$65:$Q$69</c:f>
              <c:numCache>
                <c:formatCode>0.00</c:formatCode>
                <c:ptCount val="5"/>
                <c:pt idx="0">
                  <c:v>19.53871411739193</c:v>
                </c:pt>
                <c:pt idx="1">
                  <c:v>19.450005293813454</c:v>
                </c:pt>
                <c:pt idx="2">
                  <c:v>16.615857575651319</c:v>
                </c:pt>
                <c:pt idx="3">
                  <c:v>2.230642941304037</c:v>
                </c:pt>
                <c:pt idx="4">
                  <c:v>2.1419341177255617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6C-419D-A8EF-E3B6ACF9599E}"/>
            </c:ext>
          </c:extLst>
        </c:ser>
        <c:ser>
          <c:idx val="2"/>
          <c:order val="1"/>
          <c:tx>
            <c:strRef>
              <c:f>'Podstawowe dane'!$B$68</c:f>
              <c:strCache>
                <c:ptCount val="1"/>
                <c:pt idx="0">
                  <c:v>Tynk wewnętrzny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dane'!$O$54:$P$54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6C-419D-A8EF-E3B6ACF9599E}"/>
            </c:ext>
          </c:extLst>
        </c:ser>
        <c:ser>
          <c:idx val="4"/>
          <c:order val="2"/>
          <c:tx>
            <c:strRef>
              <c:f>'Podstawowe dane'!$B$67</c:f>
              <c:strCache>
                <c:ptCount val="1"/>
                <c:pt idx="0">
                  <c:v>Pustak ceramiczny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dane'!$O$67:$P$67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6C-419D-A8EF-E3B6ACF9599E}"/>
            </c:ext>
          </c:extLst>
        </c:ser>
        <c:ser>
          <c:idx val="3"/>
          <c:order val="3"/>
          <c:tx>
            <c:strRef>
              <c:f>'Podstawowe dane'!$B$66</c:f>
              <c:strCache>
                <c:ptCount val="1"/>
                <c:pt idx="0">
                  <c:v>Styropian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dane'!$O$68:$P$68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6C-419D-A8EF-E3B6ACF9599E}"/>
            </c:ext>
          </c:extLst>
        </c:ser>
        <c:ser>
          <c:idx val="0"/>
          <c:order val="4"/>
          <c:tx>
            <c:strRef>
              <c:f>'Podstawowe dane'!$B$65</c:f>
              <c:strCache>
                <c:ptCount val="1"/>
                <c:pt idx="0">
                  <c:v>Tynk zewnętrzny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dane'!$O$69:$P$69</c:f>
              <c:numCache>
                <c:formatCode>General</c:formatCod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6C-419D-A8EF-E3B6ACF95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07424"/>
        <c:axId val="115608960"/>
      </c:scatterChart>
      <c:valAx>
        <c:axId val="11560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608960"/>
        <c:crosses val="autoZero"/>
        <c:crossBetween val="midCat"/>
      </c:valAx>
      <c:valAx>
        <c:axId val="11560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607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Rozkład temperatury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dane'!$O$71:$O$75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25</c:v>
                </c:pt>
                <c:pt idx="3">
                  <c:v>40</c:v>
                </c:pt>
                <c:pt idx="4">
                  <c:v>41</c:v>
                </c:pt>
              </c:numCache>
            </c:numRef>
          </c:xVal>
          <c:yVal>
            <c:numRef>
              <c:f>'Podstawowe dane'!$Q$71:$Q$75</c:f>
              <c:numCache>
                <c:formatCode>0.00</c:formatCode>
                <c:ptCount val="5"/>
                <c:pt idx="0">
                  <c:v>19.617660047149624</c:v>
                </c:pt>
                <c:pt idx="1">
                  <c:v>19.544133133139933</c:v>
                </c:pt>
                <c:pt idx="2">
                  <c:v>14.114453329347583</c:v>
                </c:pt>
                <c:pt idx="3">
                  <c:v>2.19116997642519</c:v>
                </c:pt>
                <c:pt idx="4">
                  <c:v>2.1176430624155032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58-45D2-9EE1-4F87958F637F}"/>
            </c:ext>
          </c:extLst>
        </c:ser>
        <c:ser>
          <c:idx val="2"/>
          <c:order val="1"/>
          <c:tx>
            <c:strRef>
              <c:f>'Podstawowe dane'!$B$74</c:f>
              <c:strCache>
                <c:ptCount val="1"/>
                <c:pt idx="0">
                  <c:v>Tynk wewnętrzny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dane'!$O$72:$P$72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58-45D2-9EE1-4F87958F637F}"/>
            </c:ext>
          </c:extLst>
        </c:ser>
        <c:ser>
          <c:idx val="4"/>
          <c:order val="2"/>
          <c:tx>
            <c:strRef>
              <c:f>'Podstawowe dane'!$B$73</c:f>
              <c:strCache>
                <c:ptCount val="1"/>
                <c:pt idx="0">
                  <c:v>Beton komórkowy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dane'!$O$73:$P$73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58-45D2-9EE1-4F87958F637F}"/>
            </c:ext>
          </c:extLst>
        </c:ser>
        <c:ser>
          <c:idx val="3"/>
          <c:order val="3"/>
          <c:tx>
            <c:strRef>
              <c:f>'Podstawowe dane'!$B$72</c:f>
              <c:strCache>
                <c:ptCount val="1"/>
                <c:pt idx="0">
                  <c:v>Styropian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dane'!$O$74:$P$74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458-45D2-9EE1-4F87958F637F}"/>
            </c:ext>
          </c:extLst>
        </c:ser>
        <c:ser>
          <c:idx val="0"/>
          <c:order val="4"/>
          <c:tx>
            <c:strRef>
              <c:f>'Podstawowe dane'!$B$71</c:f>
              <c:strCache>
                <c:ptCount val="1"/>
                <c:pt idx="0">
                  <c:v>Tynk zewnętrzny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dane'!$O$75:$P$75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458-45D2-9EE1-4F87958F6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86016"/>
        <c:axId val="115712384"/>
      </c:scatterChart>
      <c:valAx>
        <c:axId val="11568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712384"/>
        <c:crosses val="autoZero"/>
        <c:crossBetween val="midCat"/>
      </c:valAx>
      <c:valAx>
        <c:axId val="1157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686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Rozkład temperatury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dane'!$O$77:$O$81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26</c:v>
                </c:pt>
                <c:pt idx="3">
                  <c:v>41</c:v>
                </c:pt>
                <c:pt idx="4">
                  <c:v>42</c:v>
                </c:pt>
              </c:numCache>
            </c:numRef>
          </c:xVal>
          <c:yVal>
            <c:numRef>
              <c:f>'Podstawowe dane'!$Q$77:$Q$81</c:f>
              <c:numCache>
                <c:formatCode>0.00</c:formatCode>
                <c:ptCount val="5"/>
                <c:pt idx="0">
                  <c:v>19.504287975265928</c:v>
                </c:pt>
                <c:pt idx="1">
                  <c:v>19.408958739740147</c:v>
                </c:pt>
                <c:pt idx="2">
                  <c:v>17.70665096249402</c:v>
                </c:pt>
                <c:pt idx="3">
                  <c:v>2.2478560123670377</c:v>
                </c:pt>
                <c:pt idx="4">
                  <c:v>2.1525267768412526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25-4017-82D7-A142975D0BBA}"/>
            </c:ext>
          </c:extLst>
        </c:ser>
        <c:ser>
          <c:idx val="2"/>
          <c:order val="1"/>
          <c:tx>
            <c:strRef>
              <c:f>'Podstawowe dane'!$B$74</c:f>
              <c:strCache>
                <c:ptCount val="1"/>
                <c:pt idx="0">
                  <c:v>Tynk wewnętrzny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dane'!$O$78:$P$78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25-4017-82D7-A142975D0BBA}"/>
            </c:ext>
          </c:extLst>
        </c:ser>
        <c:ser>
          <c:idx val="4"/>
          <c:order val="2"/>
          <c:tx>
            <c:strRef>
              <c:f>'Podstawowe dane'!$B$79</c:f>
              <c:strCache>
                <c:ptCount val="1"/>
                <c:pt idx="0">
                  <c:v>Bloczki silikatowe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dane'!$O$79:$P$79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25-4017-82D7-A142975D0BBA}"/>
            </c:ext>
          </c:extLst>
        </c:ser>
        <c:ser>
          <c:idx val="3"/>
          <c:order val="3"/>
          <c:tx>
            <c:strRef>
              <c:f>'Podstawowe dane'!$B$78</c:f>
              <c:strCache>
                <c:ptCount val="1"/>
                <c:pt idx="0">
                  <c:v>Styropian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dane'!$O$80:$P$80</c:f>
              <c:numCache>
                <c:formatCode>General</c:formatCod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25-4017-82D7-A142975D0BBA}"/>
            </c:ext>
          </c:extLst>
        </c:ser>
        <c:ser>
          <c:idx val="0"/>
          <c:order val="4"/>
          <c:tx>
            <c:strRef>
              <c:f>'Podstawowe dane'!$B$77</c:f>
              <c:strCache>
                <c:ptCount val="1"/>
                <c:pt idx="0">
                  <c:v>Tynk zewnętrzny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dane'!$O$81:$P$81</c:f>
              <c:numCache>
                <c:formatCode>General</c:formatCod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25-4017-82D7-A142975D0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71232"/>
        <c:axId val="120705792"/>
      </c:scatterChart>
      <c:valAx>
        <c:axId val="12067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0705792"/>
        <c:crosses val="autoZero"/>
        <c:crossBetween val="midCat"/>
      </c:valAx>
      <c:valAx>
        <c:axId val="12070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0671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Rozkład temperatury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dane'!$O$83:$O$87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26</c:v>
                </c:pt>
                <c:pt idx="3">
                  <c:v>46</c:v>
                </c:pt>
                <c:pt idx="4">
                  <c:v>47</c:v>
                </c:pt>
              </c:numCache>
            </c:numRef>
          </c:xVal>
          <c:yVal>
            <c:numRef>
              <c:f>'Podstawowe dane'!$Q$83:$Q$87</c:f>
              <c:numCache>
                <c:formatCode>0.00</c:formatCode>
                <c:ptCount val="5"/>
                <c:pt idx="0">
                  <c:v>19.635748197998275</c:v>
                </c:pt>
                <c:pt idx="1">
                  <c:v>19.565699774536405</c:v>
                </c:pt>
                <c:pt idx="2">
                  <c:v>17.327730973837674</c:v>
                </c:pt>
                <c:pt idx="3">
                  <c:v>2.182125901000866</c:v>
                </c:pt>
                <c:pt idx="4">
                  <c:v>2.1120774775389961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A3-4F1C-9CB6-0C3AA00378D2}"/>
            </c:ext>
          </c:extLst>
        </c:ser>
        <c:ser>
          <c:idx val="2"/>
          <c:order val="1"/>
          <c:tx>
            <c:strRef>
              <c:f>'Podstawowe dane'!$B$50</c:f>
              <c:strCache>
                <c:ptCount val="1"/>
                <c:pt idx="0">
                  <c:v>Tynk wewnętrzny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dane'!$O$48:$P$48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A3-4F1C-9CB6-0C3AA00378D2}"/>
            </c:ext>
          </c:extLst>
        </c:ser>
        <c:ser>
          <c:idx val="4"/>
          <c:order val="2"/>
          <c:tx>
            <c:strRef>
              <c:f>'Podstawowe dane'!$B$49</c:f>
              <c:strCache>
                <c:ptCount val="1"/>
                <c:pt idx="0">
                  <c:v>Pustak ceramiczny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dane'!$O$49:$P$49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A3-4F1C-9CB6-0C3AA00378D2}"/>
            </c:ext>
          </c:extLst>
        </c:ser>
        <c:ser>
          <c:idx val="3"/>
          <c:order val="3"/>
          <c:tx>
            <c:strRef>
              <c:f>'Podstawowe dane'!$B$48</c:f>
              <c:strCache>
                <c:ptCount val="1"/>
                <c:pt idx="0">
                  <c:v>Styropian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dane'!$O$50:$P$50</c:f>
              <c:numCache>
                <c:formatCode>General</c:formatCod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1A3-4F1C-9CB6-0C3AA00378D2}"/>
            </c:ext>
          </c:extLst>
        </c:ser>
        <c:ser>
          <c:idx val="0"/>
          <c:order val="4"/>
          <c:tx>
            <c:strRef>
              <c:f>'Podstawowe dane'!$B$47</c:f>
              <c:strCache>
                <c:ptCount val="1"/>
                <c:pt idx="0">
                  <c:v>Tynk zewnętrzny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'Podstawowe dane'!$O$51:$P$51</c:f>
              <c:numCache>
                <c:formatCode>General</c:formatCod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xVal>
          <c:yVal>
            <c:numRef>
              <c:f>'Podstawowe dane'!$D$2:$E$2</c:f>
              <c:numCache>
                <c:formatCode>General</c:formatCode>
                <c:ptCount val="2"/>
                <c:pt idx="0">
                  <c:v>20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A3-4F1C-9CB6-0C3AA0037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76960"/>
        <c:axId val="122811520"/>
      </c:scatterChart>
      <c:valAx>
        <c:axId val="12277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2811520"/>
        <c:crosses val="autoZero"/>
        <c:crossBetween val="midCat"/>
      </c:valAx>
      <c:valAx>
        <c:axId val="12281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2776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1210909</xdr:colOff>
      <xdr:row>110</xdr:row>
      <xdr:rowOff>103766</xdr:rowOff>
    </xdr:from>
    <xdr:to>
      <xdr:col>10</xdr:col>
      <xdr:colOff>1193875</xdr:colOff>
      <xdr:row>114</xdr:row>
      <xdr:rowOff>171646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9549" y="33144086"/>
          <a:ext cx="2528047" cy="79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849967</xdr:colOff>
      <xdr:row>114</xdr:row>
      <xdr:rowOff>0</xdr:rowOff>
    </xdr:from>
    <xdr:to>
      <xdr:col>16</xdr:col>
      <xdr:colOff>506986</xdr:colOff>
      <xdr:row>125</xdr:row>
      <xdr:rowOff>12719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2405" y="3777084"/>
          <a:ext cx="4211170" cy="2038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1021080</xdr:colOff>
      <xdr:row>21</xdr:row>
      <xdr:rowOff>91440</xdr:rowOff>
    </xdr:from>
    <xdr:to>
      <xdr:col>17</xdr:col>
      <xdr:colOff>1004435</xdr:colOff>
      <xdr:row>29</xdr:row>
      <xdr:rowOff>101509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246DCFA0-A4B8-4D99-8C54-3E083731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07200" y="3634740"/>
          <a:ext cx="4357566" cy="2021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1813560</xdr:colOff>
      <xdr:row>25</xdr:row>
      <xdr:rowOff>144780</xdr:rowOff>
    </xdr:from>
    <xdr:to>
      <xdr:col>12</xdr:col>
      <xdr:colOff>1194548</xdr:colOff>
      <xdr:row>29</xdr:row>
      <xdr:rowOff>166940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B8087F04-4C76-44E3-B790-14EAB8BA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2280" y="4922520"/>
          <a:ext cx="2528047" cy="79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274320</xdr:colOff>
      <xdr:row>43</xdr:row>
      <xdr:rowOff>114300</xdr:rowOff>
    </xdr:from>
    <xdr:to>
      <xdr:col>23</xdr:col>
      <xdr:colOff>1249680</xdr:colOff>
      <xdr:row>50</xdr:row>
      <xdr:rowOff>472440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85113712-2314-4AE1-9ED4-4DB672E40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99060</xdr:rowOff>
    </xdr:from>
    <xdr:to>
      <xdr:col>5</xdr:col>
      <xdr:colOff>0</xdr:colOff>
      <xdr:row>131</xdr:row>
      <xdr:rowOff>68580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18E5F57A-CA86-425B-A7FB-EC5723A146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850458</xdr:colOff>
      <xdr:row>148</xdr:row>
      <xdr:rowOff>3975</xdr:rowOff>
    </xdr:from>
    <xdr:to>
      <xdr:col>5</xdr:col>
      <xdr:colOff>53009</xdr:colOff>
      <xdr:row>171</xdr:row>
      <xdr:rowOff>66261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20655D93-B2D5-4136-814D-997CB12E56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228600</xdr:colOff>
      <xdr:row>51</xdr:row>
      <xdr:rowOff>365760</xdr:rowOff>
    </xdr:from>
    <xdr:to>
      <xdr:col>23</xdr:col>
      <xdr:colOff>1203960</xdr:colOff>
      <xdr:row>57</xdr:row>
      <xdr:rowOff>38100</xdr:rowOff>
    </xdr:to>
    <xdr:graphicFrame macro="">
      <xdr:nvGraphicFramePr>
        <xdr:cNvPr id="23" name="Wykres 22">
          <a:extLst>
            <a:ext uri="{FF2B5EF4-FFF2-40B4-BE49-F238E27FC236}">
              <a16:creationId xmlns:a16="http://schemas.microsoft.com/office/drawing/2014/main" id="{C1988839-9867-487B-9534-CDA96309F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220980</xdr:colOff>
      <xdr:row>57</xdr:row>
      <xdr:rowOff>731520</xdr:rowOff>
    </xdr:from>
    <xdr:to>
      <xdr:col>23</xdr:col>
      <xdr:colOff>1196340</xdr:colOff>
      <xdr:row>63</xdr:row>
      <xdr:rowOff>160020</xdr:rowOff>
    </xdr:to>
    <xdr:graphicFrame macro="">
      <xdr:nvGraphicFramePr>
        <xdr:cNvPr id="24" name="Wykres 23">
          <a:extLst>
            <a:ext uri="{FF2B5EF4-FFF2-40B4-BE49-F238E27FC236}">
              <a16:creationId xmlns:a16="http://schemas.microsoft.com/office/drawing/2014/main" id="{9DB84A00-0443-47EE-99DE-4D12AEDCA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190500</xdr:colOff>
      <xdr:row>63</xdr:row>
      <xdr:rowOff>731520</xdr:rowOff>
    </xdr:from>
    <xdr:to>
      <xdr:col>23</xdr:col>
      <xdr:colOff>1165860</xdr:colOff>
      <xdr:row>69</xdr:row>
      <xdr:rowOff>160020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46574F43-E136-4D06-8D54-AA3F47CEB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152400</xdr:colOff>
      <xdr:row>69</xdr:row>
      <xdr:rowOff>685800</xdr:rowOff>
    </xdr:from>
    <xdr:to>
      <xdr:col>23</xdr:col>
      <xdr:colOff>1127760</xdr:colOff>
      <xdr:row>75</xdr:row>
      <xdr:rowOff>114300</xdr:rowOff>
    </xdr:to>
    <xdr:graphicFrame macro="">
      <xdr:nvGraphicFramePr>
        <xdr:cNvPr id="26" name="Wykres 25">
          <a:extLst>
            <a:ext uri="{FF2B5EF4-FFF2-40B4-BE49-F238E27FC236}">
              <a16:creationId xmlns:a16="http://schemas.microsoft.com/office/drawing/2014/main" id="{1ED37299-88F0-449E-9287-B77031AE8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205740</xdr:colOff>
      <xdr:row>75</xdr:row>
      <xdr:rowOff>701040</xdr:rowOff>
    </xdr:from>
    <xdr:to>
      <xdr:col>23</xdr:col>
      <xdr:colOff>1181100</xdr:colOff>
      <xdr:row>81</xdr:row>
      <xdr:rowOff>129540</xdr:rowOff>
    </xdr:to>
    <xdr:graphicFrame macro="">
      <xdr:nvGraphicFramePr>
        <xdr:cNvPr id="27" name="Wykres 26">
          <a:extLst>
            <a:ext uri="{FF2B5EF4-FFF2-40B4-BE49-F238E27FC236}">
              <a16:creationId xmlns:a16="http://schemas.microsoft.com/office/drawing/2014/main" id="{1746C4C2-2AFF-4D81-9FBA-0D098B43A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198120</xdr:colOff>
      <xdr:row>81</xdr:row>
      <xdr:rowOff>731520</xdr:rowOff>
    </xdr:from>
    <xdr:to>
      <xdr:col>23</xdr:col>
      <xdr:colOff>1173480</xdr:colOff>
      <xdr:row>87</xdr:row>
      <xdr:rowOff>160020</xdr:rowOff>
    </xdr:to>
    <xdr:graphicFrame macro="">
      <xdr:nvGraphicFramePr>
        <xdr:cNvPr id="28" name="Wykres 27">
          <a:extLst>
            <a:ext uri="{FF2B5EF4-FFF2-40B4-BE49-F238E27FC236}">
              <a16:creationId xmlns:a16="http://schemas.microsoft.com/office/drawing/2014/main" id="{2076C43A-3C4F-40F7-AD69-EED38C810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220980</xdr:colOff>
      <xdr:row>87</xdr:row>
      <xdr:rowOff>662940</xdr:rowOff>
    </xdr:from>
    <xdr:to>
      <xdr:col>23</xdr:col>
      <xdr:colOff>1196340</xdr:colOff>
      <xdr:row>93</xdr:row>
      <xdr:rowOff>91440</xdr:rowOff>
    </xdr:to>
    <xdr:graphicFrame macro="">
      <xdr:nvGraphicFramePr>
        <xdr:cNvPr id="29" name="Wykres 28">
          <a:extLst>
            <a:ext uri="{FF2B5EF4-FFF2-40B4-BE49-F238E27FC236}">
              <a16:creationId xmlns:a16="http://schemas.microsoft.com/office/drawing/2014/main" id="{DCAD0B2A-5DE1-455F-9A41-39D9448E3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274320</xdr:colOff>
      <xdr:row>94</xdr:row>
      <xdr:rowOff>0</xdr:rowOff>
    </xdr:from>
    <xdr:to>
      <xdr:col>23</xdr:col>
      <xdr:colOff>1249680</xdr:colOff>
      <xdr:row>100</xdr:row>
      <xdr:rowOff>45720</xdr:rowOff>
    </xdr:to>
    <xdr:graphicFrame macro="">
      <xdr:nvGraphicFramePr>
        <xdr:cNvPr id="30" name="Wykres 29">
          <a:extLst>
            <a:ext uri="{FF2B5EF4-FFF2-40B4-BE49-F238E27FC236}">
              <a16:creationId xmlns:a16="http://schemas.microsoft.com/office/drawing/2014/main" id="{4A5E1FBC-D96B-4B05-90BB-2FC1890DE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og.poradnik-budowlan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log.poradnik-budowlan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7"/>
  <sheetViews>
    <sheetView tabSelected="1" zoomScale="115" zoomScaleNormal="115" workbookViewId="0">
      <selection sqref="A1:B1"/>
    </sheetView>
  </sheetViews>
  <sheetFormatPr defaultRowHeight="14.4" x14ac:dyDescent="0.3"/>
  <cols>
    <col min="1" max="1" width="23" customWidth="1"/>
    <col min="2" max="2" width="31.6640625" customWidth="1"/>
    <col min="3" max="3" width="18.88671875" customWidth="1"/>
    <col min="4" max="4" width="18.44140625" customWidth="1"/>
    <col min="5" max="5" width="33.6640625" customWidth="1"/>
    <col min="6" max="6" width="29.109375" customWidth="1"/>
    <col min="7" max="7" width="24.109375" customWidth="1"/>
    <col min="8" max="8" width="26.44140625" customWidth="1"/>
    <col min="9" max="9" width="18.5546875" customWidth="1"/>
    <col min="10" max="10" width="18.5546875" style="34" customWidth="1"/>
    <col min="11" max="11" width="28" customWidth="1"/>
    <col min="12" max="12" width="17.88671875" customWidth="1"/>
    <col min="13" max="13" width="21.109375" customWidth="1"/>
    <col min="14" max="14" width="16.88671875" customWidth="1"/>
    <col min="15" max="15" width="13.33203125" customWidth="1"/>
    <col min="16" max="16" width="17.33203125" style="34" customWidth="1"/>
    <col min="17" max="17" width="16.33203125" customWidth="1"/>
    <col min="18" max="18" width="15.6640625" customWidth="1"/>
    <col min="19" max="19" width="13.109375" customWidth="1"/>
    <col min="20" max="20" width="18.33203125" bestFit="1" customWidth="1"/>
    <col min="21" max="21" width="11.6640625" customWidth="1"/>
    <col min="22" max="22" width="12.109375" customWidth="1"/>
    <col min="24" max="24" width="18.44140625" customWidth="1"/>
    <col min="25" max="25" width="10.5546875" bestFit="1" customWidth="1"/>
    <col min="26" max="26" width="24.109375" bestFit="1" customWidth="1"/>
    <col min="30" max="30" width="23.88671875" customWidth="1"/>
  </cols>
  <sheetData>
    <row r="1" spans="1:25" ht="69.599999999999994" thickTop="1" x14ac:dyDescent="0.3">
      <c r="A1" s="184" t="s">
        <v>163</v>
      </c>
      <c r="B1" s="185"/>
      <c r="C1" s="141"/>
      <c r="D1" s="142" t="s">
        <v>100</v>
      </c>
      <c r="E1" s="143" t="s">
        <v>14</v>
      </c>
      <c r="F1" t="s">
        <v>160</v>
      </c>
      <c r="G1" s="176" t="s">
        <v>161</v>
      </c>
      <c r="H1" s="40"/>
      <c r="N1" s="18"/>
      <c r="O1" s="18"/>
      <c r="P1" s="41"/>
      <c r="Q1" s="18"/>
      <c r="R1" s="18"/>
      <c r="S1" s="34"/>
      <c r="T1" s="34"/>
      <c r="U1" s="34"/>
      <c r="V1" s="34"/>
      <c r="W1" s="34"/>
      <c r="X1" s="34"/>
      <c r="Y1" s="34"/>
    </row>
    <row r="2" spans="1:25" ht="15" thickBot="1" x14ac:dyDescent="0.35">
      <c r="A2" s="186">
        <v>174</v>
      </c>
      <c r="B2" s="187"/>
      <c r="C2" s="144"/>
      <c r="D2" s="145">
        <v>20</v>
      </c>
      <c r="E2" s="146">
        <v>2</v>
      </c>
      <c r="F2" s="144"/>
      <c r="G2" s="144"/>
      <c r="H2" s="173"/>
      <c r="I2" s="17"/>
      <c r="N2" s="17"/>
      <c r="O2" s="17"/>
      <c r="P2" s="40"/>
      <c r="Q2" s="17"/>
      <c r="R2" s="17"/>
      <c r="S2" s="34"/>
      <c r="T2" s="34"/>
      <c r="U2" s="34"/>
      <c r="V2" s="34"/>
      <c r="W2" s="34"/>
      <c r="X2" s="34"/>
      <c r="Y2" s="34"/>
    </row>
    <row r="3" spans="1:25" ht="15" thickBot="1" x14ac:dyDescent="0.35">
      <c r="A3" s="147"/>
      <c r="B3" s="144"/>
      <c r="C3" s="144"/>
      <c r="D3" s="144"/>
      <c r="E3" s="144"/>
      <c r="F3" s="144"/>
      <c r="G3" s="144"/>
      <c r="H3" s="173"/>
      <c r="I3" s="17"/>
      <c r="N3" s="17"/>
      <c r="O3" s="17"/>
      <c r="P3" s="40"/>
      <c r="Q3" s="17"/>
      <c r="R3" s="40"/>
      <c r="S3" s="40"/>
      <c r="T3" s="40"/>
      <c r="U3" s="40"/>
      <c r="V3" s="40"/>
      <c r="W3" s="40"/>
      <c r="X3" s="34"/>
      <c r="Y3" s="34"/>
    </row>
    <row r="4" spans="1:25" s="34" customFormat="1" ht="28.2" thickBot="1" x14ac:dyDescent="0.35">
      <c r="A4" s="184" t="s">
        <v>83</v>
      </c>
      <c r="B4" s="185"/>
      <c r="C4" s="144"/>
      <c r="D4" s="148" t="s">
        <v>72</v>
      </c>
      <c r="E4" s="149">
        <v>0.4</v>
      </c>
      <c r="F4" s="144"/>
      <c r="G4" s="144"/>
      <c r="H4" s="173"/>
      <c r="I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5" s="34" customFormat="1" ht="15" thickBot="1" x14ac:dyDescent="0.35">
      <c r="A5" s="186">
        <v>58</v>
      </c>
      <c r="B5" s="187"/>
      <c r="C5" s="144"/>
      <c r="D5" s="150"/>
      <c r="F5" s="144"/>
      <c r="G5" s="144"/>
      <c r="H5" s="173"/>
      <c r="I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5" s="34" customFormat="1" ht="15" thickBot="1" x14ac:dyDescent="0.35">
      <c r="A6" s="144"/>
      <c r="B6" s="144"/>
      <c r="C6" s="144"/>
      <c r="F6" s="144"/>
      <c r="G6" s="144"/>
      <c r="H6" s="173"/>
      <c r="I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5" s="34" customFormat="1" x14ac:dyDescent="0.3">
      <c r="A7" s="184" t="s">
        <v>92</v>
      </c>
      <c r="B7" s="185"/>
      <c r="C7" s="144"/>
      <c r="F7" s="174"/>
      <c r="G7" s="144"/>
      <c r="H7" s="173"/>
      <c r="I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5" s="34" customFormat="1" ht="15" thickBot="1" x14ac:dyDescent="0.35">
      <c r="A8" s="186">
        <v>40</v>
      </c>
      <c r="B8" s="187"/>
      <c r="C8" s="144"/>
      <c r="E8" s="197"/>
      <c r="F8" s="197"/>
      <c r="G8" s="144"/>
      <c r="H8" s="173"/>
      <c r="I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5" s="34" customFormat="1" ht="15" thickBot="1" x14ac:dyDescent="0.35">
      <c r="A9" s="144"/>
      <c r="B9" s="144"/>
      <c r="C9" s="144"/>
      <c r="F9" s="174"/>
      <c r="G9" s="144"/>
      <c r="H9" s="173"/>
      <c r="I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5" s="34" customFormat="1" x14ac:dyDescent="0.3">
      <c r="A10" s="184" t="s">
        <v>93</v>
      </c>
      <c r="B10" s="185"/>
      <c r="C10" s="144"/>
      <c r="G10" s="144"/>
      <c r="H10" s="173"/>
      <c r="I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5" s="34" customFormat="1" ht="15" thickBot="1" x14ac:dyDescent="0.35">
      <c r="A11" s="186">
        <v>200</v>
      </c>
      <c r="B11" s="187"/>
      <c r="C11" s="144"/>
      <c r="G11" s="40"/>
      <c r="H11" s="40"/>
      <c r="I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5" s="34" customFormat="1" ht="15" thickBot="1" x14ac:dyDescent="0.35">
      <c r="A12" s="144"/>
      <c r="B12" s="144"/>
      <c r="C12" s="144"/>
      <c r="D12" s="144"/>
      <c r="G12" s="40"/>
      <c r="H12" s="40"/>
      <c r="I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5" s="34" customFormat="1" x14ac:dyDescent="0.3">
      <c r="A13" s="184" t="s">
        <v>94</v>
      </c>
      <c r="B13" s="185"/>
      <c r="C13" s="144"/>
      <c r="D13" s="144"/>
      <c r="G13" s="40"/>
      <c r="H13" s="40"/>
      <c r="I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5" s="34" customFormat="1" ht="15" thickBot="1" x14ac:dyDescent="0.35">
      <c r="A14" s="186">
        <v>200</v>
      </c>
      <c r="B14" s="187"/>
      <c r="C14" s="144"/>
      <c r="D14" s="144"/>
      <c r="G14" s="40"/>
      <c r="H14" s="40"/>
      <c r="I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5" s="34" customFormat="1" x14ac:dyDescent="0.3">
      <c r="A15" s="40"/>
      <c r="B15" s="40"/>
      <c r="C15" s="40"/>
      <c r="D15" s="40"/>
      <c r="E15" s="40"/>
      <c r="F15" s="40"/>
      <c r="G15" s="40"/>
      <c r="H15" s="40"/>
      <c r="I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5" s="34" customFormat="1" x14ac:dyDescent="0.3">
      <c r="A16" s="40"/>
      <c r="B16" s="40"/>
      <c r="C16" s="40"/>
      <c r="D16" s="40"/>
      <c r="E16" s="40"/>
      <c r="F16" s="40"/>
      <c r="G16" s="40"/>
      <c r="H16" s="40"/>
      <c r="I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8" ht="18.600000000000001" thickBot="1" x14ac:dyDescent="0.4">
      <c r="R17" s="40"/>
      <c r="S17" s="40"/>
      <c r="T17" s="40"/>
      <c r="U17" s="40"/>
      <c r="V17" s="40"/>
      <c r="W17" s="40"/>
      <c r="X17" s="34"/>
      <c r="Y17" s="34"/>
      <c r="Z17" s="15"/>
      <c r="AA17" s="15"/>
      <c r="AB17" s="15"/>
    </row>
    <row r="18" spans="1:28" ht="76.95" customHeight="1" thickTop="1" thickBot="1" x14ac:dyDescent="0.35">
      <c r="A18" s="24"/>
      <c r="B18" s="26" t="s">
        <v>15</v>
      </c>
      <c r="C18" s="25" t="s">
        <v>8</v>
      </c>
      <c r="D18" s="16" t="s">
        <v>27</v>
      </c>
      <c r="E18" s="9" t="s">
        <v>25</v>
      </c>
      <c r="F18" s="9"/>
      <c r="G18" s="29" t="s">
        <v>26</v>
      </c>
      <c r="J18" s="47"/>
      <c r="K18" s="195" t="s">
        <v>6</v>
      </c>
      <c r="L18" s="188" t="s">
        <v>0</v>
      </c>
      <c r="M18" s="189"/>
      <c r="N18" s="190"/>
      <c r="P18" s="6" t="s">
        <v>10</v>
      </c>
      <c r="Q18" s="9" t="s">
        <v>9</v>
      </c>
      <c r="R18" s="40"/>
      <c r="S18" s="40"/>
      <c r="T18" s="40"/>
      <c r="U18" s="40"/>
      <c r="V18" s="40"/>
      <c r="W18" s="40"/>
      <c r="X18" s="34"/>
      <c r="Y18" s="34"/>
    </row>
    <row r="19" spans="1:28" ht="15" thickBot="1" x14ac:dyDescent="0.35">
      <c r="A19" s="8">
        <v>1</v>
      </c>
      <c r="B19" s="108" t="s">
        <v>19</v>
      </c>
      <c r="C19" s="109">
        <v>3.6999999999999998E-2</v>
      </c>
      <c r="D19" s="109">
        <v>12</v>
      </c>
      <c r="E19" s="110">
        <v>600</v>
      </c>
      <c r="F19" s="21"/>
      <c r="G19" s="14">
        <f>E19/100*D19</f>
        <v>72</v>
      </c>
      <c r="J19" s="48"/>
      <c r="K19" s="196"/>
      <c r="L19" s="1" t="s">
        <v>1</v>
      </c>
      <c r="M19" s="1" t="s">
        <v>2</v>
      </c>
      <c r="N19" s="2" t="s">
        <v>3</v>
      </c>
      <c r="P19" s="4">
        <v>13.5</v>
      </c>
      <c r="Q19" s="10">
        <v>1.3</v>
      </c>
      <c r="R19" s="40"/>
      <c r="S19" s="40"/>
      <c r="T19" s="40"/>
      <c r="U19" s="40"/>
      <c r="V19" s="40"/>
      <c r="W19" s="40"/>
      <c r="X19" s="34"/>
      <c r="Y19" s="34"/>
    </row>
    <row r="20" spans="1:28" ht="15" thickBot="1" x14ac:dyDescent="0.35">
      <c r="A20" s="8">
        <v>2</v>
      </c>
      <c r="B20" s="111" t="s">
        <v>19</v>
      </c>
      <c r="C20" s="109">
        <v>3.6999999999999998E-2</v>
      </c>
      <c r="D20" s="112">
        <v>15</v>
      </c>
      <c r="E20" s="113">
        <v>600</v>
      </c>
      <c r="F20" s="22"/>
      <c r="G20" s="14">
        <f>E20/100*D20</f>
        <v>90</v>
      </c>
      <c r="J20" s="48"/>
      <c r="K20" s="12" t="s">
        <v>4</v>
      </c>
      <c r="L20" s="1">
        <v>0.13</v>
      </c>
      <c r="M20" s="1">
        <v>0.1</v>
      </c>
      <c r="N20" s="2">
        <v>0.17</v>
      </c>
      <c r="P20" s="3">
        <v>13.5</v>
      </c>
      <c r="Q20" s="11">
        <v>1.3</v>
      </c>
      <c r="R20" s="40"/>
      <c r="S20" s="40"/>
      <c r="T20" s="40"/>
      <c r="U20" s="40"/>
      <c r="V20" s="40"/>
      <c r="W20" s="40"/>
      <c r="X20" s="34"/>
      <c r="Y20" s="34"/>
    </row>
    <row r="21" spans="1:28" ht="15" thickBot="1" x14ac:dyDescent="0.35">
      <c r="A21" s="8">
        <v>3</v>
      </c>
      <c r="B21" s="114" t="s">
        <v>19</v>
      </c>
      <c r="C21" s="109">
        <v>3.6999999999999998E-2</v>
      </c>
      <c r="D21" s="112">
        <v>20</v>
      </c>
      <c r="E21" s="115">
        <v>600</v>
      </c>
      <c r="F21" s="23"/>
      <c r="G21" s="14">
        <f>E21/100*D21</f>
        <v>120</v>
      </c>
      <c r="J21" s="48"/>
      <c r="K21" s="13" t="s">
        <v>5</v>
      </c>
      <c r="L21" s="191">
        <v>0.04</v>
      </c>
      <c r="M21" s="192"/>
      <c r="N21" s="193"/>
      <c r="P21" s="3">
        <v>13.5</v>
      </c>
      <c r="Q21" s="11">
        <v>1.3</v>
      </c>
      <c r="R21" s="40"/>
      <c r="S21" s="40"/>
      <c r="T21" s="40"/>
      <c r="U21" s="40"/>
      <c r="V21" s="40"/>
      <c r="W21" s="40"/>
      <c r="X21" s="34"/>
      <c r="Y21" s="34"/>
    </row>
    <row r="22" spans="1:28" ht="54" customHeight="1" thickTop="1" thickBot="1" x14ac:dyDescent="0.35">
      <c r="A22" s="43"/>
      <c r="B22" s="26" t="s">
        <v>21</v>
      </c>
      <c r="C22" s="25" t="s">
        <v>8</v>
      </c>
      <c r="D22" s="16" t="s">
        <v>27</v>
      </c>
      <c r="E22" s="27" t="s">
        <v>28</v>
      </c>
      <c r="F22" s="28" t="s">
        <v>29</v>
      </c>
      <c r="G22" s="29" t="s">
        <v>30</v>
      </c>
      <c r="J22" s="49"/>
      <c r="K22" s="19"/>
      <c r="L22" s="19"/>
      <c r="M22" s="19"/>
      <c r="N22" s="19"/>
      <c r="P22" s="6" t="s">
        <v>10</v>
      </c>
      <c r="Q22" s="9" t="s">
        <v>9</v>
      </c>
      <c r="R22" s="40"/>
      <c r="S22" s="40"/>
      <c r="T22" s="40"/>
      <c r="U22" s="40"/>
      <c r="V22" s="40"/>
      <c r="W22" s="40"/>
      <c r="X22" s="34"/>
      <c r="Y22" s="34"/>
    </row>
    <row r="23" spans="1:28" x14ac:dyDescent="0.3">
      <c r="A23" s="8">
        <v>1</v>
      </c>
      <c r="B23" s="108" t="s">
        <v>22</v>
      </c>
      <c r="C23" s="112">
        <v>0.313</v>
      </c>
      <c r="D23" s="112">
        <v>25</v>
      </c>
      <c r="E23" s="110">
        <v>11.3</v>
      </c>
      <c r="F23" s="116">
        <v>10.7</v>
      </c>
      <c r="G23" s="14">
        <f>E23*F23</f>
        <v>120.91</v>
      </c>
      <c r="J23" s="31"/>
      <c r="P23" s="3">
        <v>800</v>
      </c>
      <c r="Q23" s="11">
        <v>0.88</v>
      </c>
      <c r="R23" s="40"/>
      <c r="S23" s="40"/>
      <c r="T23" s="40"/>
      <c r="U23" s="40"/>
      <c r="V23" s="40"/>
      <c r="W23" s="40"/>
    </row>
    <row r="24" spans="1:28" x14ac:dyDescent="0.3">
      <c r="A24" s="8">
        <v>2</v>
      </c>
      <c r="B24" s="111" t="s">
        <v>23</v>
      </c>
      <c r="C24" s="112">
        <v>0.13</v>
      </c>
      <c r="D24" s="112">
        <v>24</v>
      </c>
      <c r="E24" s="113">
        <v>18.329999999999998</v>
      </c>
      <c r="F24" s="117">
        <v>7</v>
      </c>
      <c r="G24" s="14">
        <f>E24*F24</f>
        <v>128.31</v>
      </c>
      <c r="J24" s="31"/>
      <c r="P24" s="3">
        <v>500</v>
      </c>
      <c r="Q24" s="11">
        <v>0.84</v>
      </c>
      <c r="R24" s="40"/>
      <c r="S24" s="40"/>
      <c r="T24" s="40"/>
      <c r="U24" s="40"/>
      <c r="V24" s="40"/>
      <c r="W24" s="40"/>
    </row>
    <row r="25" spans="1:28" x14ac:dyDescent="0.3">
      <c r="A25" s="8">
        <v>3</v>
      </c>
      <c r="B25" s="111" t="s">
        <v>24</v>
      </c>
      <c r="C25" s="112">
        <v>0.56000000000000005</v>
      </c>
      <c r="D25" s="112">
        <v>25</v>
      </c>
      <c r="E25" s="113">
        <v>7.8</v>
      </c>
      <c r="F25" s="117">
        <v>17.399999999999999</v>
      </c>
      <c r="G25" s="14">
        <f>E25*F25</f>
        <v>135.72</v>
      </c>
      <c r="J25" s="31"/>
      <c r="P25" s="3">
        <v>1600</v>
      </c>
      <c r="Q25" s="11">
        <v>0.88</v>
      </c>
      <c r="R25" s="7"/>
    </row>
    <row r="26" spans="1:28" ht="15" thickBot="1" x14ac:dyDescent="0.35">
      <c r="R26" s="7"/>
    </row>
    <row r="27" spans="1:28" ht="15.6" thickTop="1" thickBot="1" x14ac:dyDescent="0.35">
      <c r="B27" s="26" t="s">
        <v>39</v>
      </c>
      <c r="C27" s="25" t="s">
        <v>8</v>
      </c>
      <c r="D27" s="16" t="s">
        <v>27</v>
      </c>
      <c r="E27" s="34"/>
      <c r="R27" s="7"/>
    </row>
    <row r="28" spans="1:28" ht="15" thickBot="1" x14ac:dyDescent="0.35">
      <c r="A28" s="30">
        <v>1</v>
      </c>
      <c r="B28" s="33" t="s">
        <v>42</v>
      </c>
      <c r="C28" s="118">
        <v>0.4</v>
      </c>
      <c r="D28" s="118">
        <v>1</v>
      </c>
      <c r="E28" s="34"/>
      <c r="R28" s="7"/>
    </row>
    <row r="29" spans="1:28" ht="15.6" thickTop="1" thickBot="1" x14ac:dyDescent="0.35">
      <c r="A29" s="33"/>
      <c r="B29" s="26" t="s">
        <v>40</v>
      </c>
      <c r="C29" s="25" t="s">
        <v>8</v>
      </c>
      <c r="D29" s="16" t="s">
        <v>27</v>
      </c>
      <c r="E29" s="34"/>
      <c r="R29" s="7"/>
    </row>
    <row r="30" spans="1:28" x14ac:dyDescent="0.3">
      <c r="A30" s="30">
        <v>1</v>
      </c>
      <c r="B30" s="5" t="s">
        <v>43</v>
      </c>
      <c r="C30" s="112">
        <v>0.4</v>
      </c>
      <c r="D30" s="112">
        <v>1</v>
      </c>
      <c r="E30" s="34"/>
      <c r="R30" s="7"/>
    </row>
    <row r="31" spans="1:28" s="34" customFormat="1" x14ac:dyDescent="0.3">
      <c r="A31" s="35"/>
      <c r="B31" s="35"/>
      <c r="C31" s="42"/>
      <c r="D31" s="42"/>
      <c r="R31" s="38"/>
    </row>
    <row r="32" spans="1:28" s="34" customFormat="1" x14ac:dyDescent="0.3">
      <c r="A32" s="35"/>
      <c r="B32" s="35"/>
      <c r="C32" s="42"/>
      <c r="D32" s="42"/>
      <c r="R32" s="38"/>
    </row>
    <row r="33" spans="1:20" s="34" customFormat="1" x14ac:dyDescent="0.3">
      <c r="A33" s="45"/>
      <c r="B33" s="35"/>
      <c r="C33" s="42" t="s">
        <v>77</v>
      </c>
      <c r="D33" s="42"/>
      <c r="R33" s="38"/>
    </row>
    <row r="34" spans="1:20" s="34" customFormat="1" x14ac:dyDescent="0.3">
      <c r="A34" s="45" t="str">
        <f>A102</f>
        <v>WARIANT 1</v>
      </c>
      <c r="B34" s="45" t="str">
        <f>B102</f>
        <v>Styropian gr. 12, Pustak ceramiczny</v>
      </c>
      <c r="C34" s="105">
        <f>F102</f>
        <v>0.23463353932568332</v>
      </c>
      <c r="D34" s="106" t="str">
        <f>G102</f>
        <v>Nie spełnia WT 2021</v>
      </c>
      <c r="R34" s="38"/>
    </row>
    <row r="35" spans="1:20" s="34" customFormat="1" x14ac:dyDescent="0.3">
      <c r="A35" s="45" t="str">
        <f t="shared" ref="A35:B42" si="0">A103</f>
        <v>WARIANT 2</v>
      </c>
      <c r="B35" s="45" t="str">
        <f t="shared" si="0"/>
        <v>Styropian gr. 12, Beton komórkowy</v>
      </c>
      <c r="C35" s="105">
        <f t="shared" ref="C35:C42" si="1">F103</f>
        <v>0.18834530233140942</v>
      </c>
      <c r="D35" s="106" t="str">
        <f t="shared" ref="D35:D42" si="2">G103</f>
        <v/>
      </c>
      <c r="R35" s="38"/>
    </row>
    <row r="36" spans="1:20" s="34" customFormat="1" x14ac:dyDescent="0.3">
      <c r="A36" s="45" t="str">
        <f t="shared" si="0"/>
        <v>WARIANT 3</v>
      </c>
      <c r="B36" s="45" t="str">
        <f t="shared" si="0"/>
        <v>Styropian gr. 12, Bloczki silikatowe</v>
      </c>
      <c r="C36" s="105">
        <f t="shared" si="1"/>
        <v>0.25577594422306826</v>
      </c>
      <c r="D36" s="106" t="str">
        <f t="shared" si="2"/>
        <v>Nie spełnia WT 2021</v>
      </c>
      <c r="R36" s="38"/>
    </row>
    <row r="37" spans="1:20" s="34" customFormat="1" x14ac:dyDescent="0.3">
      <c r="A37" s="45" t="str">
        <f t="shared" si="0"/>
        <v>WARIANT 4</v>
      </c>
      <c r="B37" s="45" t="str">
        <f t="shared" si="0"/>
        <v>Styropian gr. 15, Pustak ceramiczny</v>
      </c>
      <c r="C37" s="105">
        <f t="shared" si="1"/>
        <v>0.19713071906327753</v>
      </c>
      <c r="D37" s="106" t="str">
        <f t="shared" si="2"/>
        <v/>
      </c>
      <c r="R37" s="38"/>
    </row>
    <row r="38" spans="1:20" s="34" customFormat="1" x14ac:dyDescent="0.3">
      <c r="A38" s="45" t="str">
        <f t="shared" si="0"/>
        <v>WARIANT 5</v>
      </c>
      <c r="B38" s="45" t="str">
        <f t="shared" si="0"/>
        <v>Styropian gr. 15, Beton komórkowy</v>
      </c>
      <c r="C38" s="105">
        <f t="shared" si="1"/>
        <v>0.16339314224375129</v>
      </c>
      <c r="D38" s="106" t="str">
        <f t="shared" si="2"/>
        <v/>
      </c>
      <c r="R38" s="38"/>
    </row>
    <row r="39" spans="1:20" s="34" customFormat="1" x14ac:dyDescent="0.3">
      <c r="A39" s="45" t="str">
        <f t="shared" si="0"/>
        <v>WARIANT 6</v>
      </c>
      <c r="B39" s="45" t="str">
        <f t="shared" si="0"/>
        <v>Styropian gr. 15, Bloczki silikatowe</v>
      </c>
      <c r="C39" s="105">
        <f t="shared" si="1"/>
        <v>0.21184274561285121</v>
      </c>
      <c r="D39" s="106" t="str">
        <f t="shared" si="2"/>
        <v>Nie spełnia WT 2021</v>
      </c>
      <c r="R39" s="38"/>
    </row>
    <row r="40" spans="1:20" s="34" customFormat="1" x14ac:dyDescent="0.3">
      <c r="A40" s="45" t="str">
        <f t="shared" si="0"/>
        <v>WARIANT 7</v>
      </c>
      <c r="B40" s="45" t="str">
        <f t="shared" si="0"/>
        <v>Styropian gr. 20, Pustak ceramiczny</v>
      </c>
      <c r="C40" s="105">
        <f t="shared" si="1"/>
        <v>0.15566316324860052</v>
      </c>
      <c r="D40" s="106" t="str">
        <f t="shared" si="2"/>
        <v/>
      </c>
      <c r="R40" s="38"/>
    </row>
    <row r="41" spans="1:20" s="34" customFormat="1" x14ac:dyDescent="0.3">
      <c r="A41" s="45" t="str">
        <f t="shared" si="0"/>
        <v>WARIANT 8</v>
      </c>
      <c r="B41" s="45" t="str">
        <f t="shared" si="0"/>
        <v>Styropian gr. 20, Beton komórkowy</v>
      </c>
      <c r="C41" s="105">
        <f t="shared" si="1"/>
        <v>0.13384087127346386</v>
      </c>
      <c r="D41" s="106" t="str">
        <f t="shared" si="2"/>
        <v/>
      </c>
      <c r="R41" s="38"/>
    </row>
    <row r="42" spans="1:20" s="34" customFormat="1" x14ac:dyDescent="0.3">
      <c r="A42" s="45" t="str">
        <f t="shared" si="0"/>
        <v>WARIANT 9</v>
      </c>
      <c r="B42" s="45" t="str">
        <f t="shared" si="0"/>
        <v>Styropian gr. 20, Bloczki silikatowe</v>
      </c>
      <c r="C42" s="105">
        <f t="shared" si="1"/>
        <v>0.16469488523818757</v>
      </c>
      <c r="D42" s="106" t="str">
        <f t="shared" si="2"/>
        <v/>
      </c>
      <c r="R42" s="38"/>
    </row>
    <row r="43" spans="1:20" s="34" customFormat="1" x14ac:dyDescent="0.3">
      <c r="A43" s="45"/>
      <c r="B43" s="35"/>
      <c r="C43" s="42"/>
      <c r="D43" s="42"/>
      <c r="R43" s="38"/>
    </row>
    <row r="44" spans="1:20" x14ac:dyDescent="0.3">
      <c r="A44" s="45"/>
      <c r="B44" s="33"/>
      <c r="S44" s="50"/>
      <c r="T44" s="89"/>
    </row>
    <row r="45" spans="1:20" s="34" customFormat="1" ht="15" thickBot="1" x14ac:dyDescent="0.35">
      <c r="A45" s="45"/>
      <c r="B45" s="45"/>
      <c r="K45" s="35"/>
      <c r="L45" s="35"/>
      <c r="M45" s="91"/>
      <c r="N45" s="45"/>
      <c r="O45" s="45"/>
      <c r="P45" s="45"/>
      <c r="Q45" s="35"/>
      <c r="R45" s="92"/>
      <c r="S45" s="50"/>
      <c r="T45" s="92"/>
    </row>
    <row r="46" spans="1:20" s="34" customFormat="1" ht="58.2" thickBot="1" x14ac:dyDescent="0.35">
      <c r="A46" s="45"/>
      <c r="B46" s="45"/>
      <c r="K46" s="51" t="s">
        <v>44</v>
      </c>
      <c r="L46" s="52" t="s">
        <v>12</v>
      </c>
      <c r="M46" s="52" t="s">
        <v>45</v>
      </c>
      <c r="N46" s="52" t="s">
        <v>7</v>
      </c>
      <c r="O46" s="52" t="s">
        <v>20</v>
      </c>
      <c r="P46" s="52"/>
      <c r="Q46" s="52" t="s">
        <v>12</v>
      </c>
      <c r="R46" s="103" t="s">
        <v>59</v>
      </c>
      <c r="S46" s="50"/>
      <c r="T46" s="92"/>
    </row>
    <row r="47" spans="1:20" ht="23.4" x14ac:dyDescent="0.3">
      <c r="A47" s="84" t="s">
        <v>16</v>
      </c>
      <c r="B47" s="53" t="str">
        <f>B28</f>
        <v>Tynk zewnętrzny</v>
      </c>
      <c r="C47" s="54">
        <f>C28</f>
        <v>0.4</v>
      </c>
      <c r="D47" s="54">
        <f>D28</f>
        <v>1</v>
      </c>
      <c r="E47" s="53"/>
      <c r="F47" s="53"/>
      <c r="G47" s="53"/>
      <c r="H47" s="53"/>
      <c r="I47" s="53"/>
      <c r="J47" s="53"/>
      <c r="K47" s="55">
        <f>D47/100/C47</f>
        <v>2.4999999999999998E-2</v>
      </c>
      <c r="L47" s="56">
        <f>$D$2-((IF($E$2&lt;0,ABS($E$2-$D$2),$D$2-$E$2))/$K51)*($L$20+K50+K49+K48)</f>
        <v>2.2745212410110511</v>
      </c>
      <c r="M47" s="57">
        <f>$D$2-((IF($E$2&lt;0,ABS($E$2-$D$2),$D$2-$E$2))/$K51)*($L$20+K50+K49+K48+K47)</f>
        <v>2.16893614831449</v>
      </c>
      <c r="N47">
        <v>0</v>
      </c>
      <c r="O47">
        <v>0</v>
      </c>
      <c r="P47" s="34">
        <f>O47</f>
        <v>0</v>
      </c>
      <c r="Q47" s="46">
        <f>L50</f>
        <v>19.450957517977901</v>
      </c>
      <c r="R47" s="90">
        <f>IF($E$2&lt;0,ABS($E$2-$D$2),$D$21-$P$21)/$K51</f>
        <v>1.5251180056169416</v>
      </c>
    </row>
    <row r="48" spans="1:20" ht="23.4" x14ac:dyDescent="0.45">
      <c r="A48" s="85"/>
      <c r="B48" s="38" t="str">
        <f>B19</f>
        <v>Styropian</v>
      </c>
      <c r="C48" s="59">
        <f>C19</f>
        <v>3.6999999999999998E-2</v>
      </c>
      <c r="D48" s="59">
        <f>D19</f>
        <v>12</v>
      </c>
      <c r="E48" s="59">
        <f>P19</f>
        <v>13.5</v>
      </c>
      <c r="F48" s="59">
        <f>Q19</f>
        <v>1.3</v>
      </c>
      <c r="G48" s="59"/>
      <c r="H48" s="59"/>
      <c r="I48" s="59">
        <f>G19</f>
        <v>72</v>
      </c>
      <c r="J48" s="59"/>
      <c r="K48" s="60">
        <f>D48/100/C48</f>
        <v>3.2432432432432434</v>
      </c>
      <c r="L48" s="61">
        <f>$D$2-((IF($E$2&lt;0,ABS($E$2-$D$2),$D$2-$E$2))/$K51)*($L$20+K50+K49)</f>
        <v>15.972046780023916</v>
      </c>
      <c r="M48" s="62"/>
      <c r="N48">
        <v>1</v>
      </c>
      <c r="O48">
        <f>D50</f>
        <v>1</v>
      </c>
      <c r="P48" s="34">
        <f>O48</f>
        <v>1</v>
      </c>
      <c r="Q48" s="46">
        <f>L49</f>
        <v>19.345372425281344</v>
      </c>
      <c r="R48" s="7"/>
    </row>
    <row r="49" spans="1:18" ht="23.4" x14ac:dyDescent="0.45">
      <c r="A49" s="85"/>
      <c r="B49" s="38" t="str">
        <f>B23</f>
        <v>Pustak ceramiczny</v>
      </c>
      <c r="C49" s="59">
        <f>C23</f>
        <v>0.313</v>
      </c>
      <c r="D49" s="59">
        <f>D23</f>
        <v>25</v>
      </c>
      <c r="E49" s="59">
        <f>P23</f>
        <v>800</v>
      </c>
      <c r="F49" s="59">
        <f>Q23</f>
        <v>0.88</v>
      </c>
      <c r="G49" s="59"/>
      <c r="H49" s="59"/>
      <c r="I49" s="59">
        <f>G23</f>
        <v>120.91</v>
      </c>
      <c r="J49" s="59"/>
      <c r="K49" s="60">
        <f>D49/100/C49</f>
        <v>0.79872204472843455</v>
      </c>
      <c r="L49" s="61">
        <f>$D$2-((IF($E$2&lt;0,ABS($E$2-$D$2),$D$2-$E$2))/$K51)*($L$20+K50)</f>
        <v>19.345372425281344</v>
      </c>
      <c r="M49" s="62"/>
      <c r="N49">
        <v>2</v>
      </c>
      <c r="O49">
        <f>D50+D49</f>
        <v>26</v>
      </c>
      <c r="P49" s="34">
        <f>O49</f>
        <v>26</v>
      </c>
      <c r="Q49" s="46">
        <f>L48</f>
        <v>15.972046780023916</v>
      </c>
      <c r="R49" s="7"/>
    </row>
    <row r="50" spans="1:18" ht="23.4" x14ac:dyDescent="0.45">
      <c r="A50" s="85"/>
      <c r="B50" s="38" t="str">
        <f>B30</f>
        <v>Tynk wewnętrzny</v>
      </c>
      <c r="C50" s="59">
        <f>C30</f>
        <v>0.4</v>
      </c>
      <c r="D50" s="59">
        <f>D30</f>
        <v>1</v>
      </c>
      <c r="E50" s="59"/>
      <c r="F50" s="59"/>
      <c r="G50" s="59"/>
      <c r="H50" s="38"/>
      <c r="I50" s="38"/>
      <c r="J50" s="38"/>
      <c r="K50" s="60">
        <f>D50/100/C50</f>
        <v>2.4999999999999998E-2</v>
      </c>
      <c r="L50" s="61">
        <f>$D$2-((IF($E$2&lt;0,ABS($E$2-$D$2),$D$2-$E$2))/$K51)*$L$20</f>
        <v>19.450957517977901</v>
      </c>
      <c r="M50" s="62"/>
      <c r="N50">
        <v>3</v>
      </c>
      <c r="O50">
        <f>D50+D49+D48</f>
        <v>38</v>
      </c>
      <c r="P50" s="34">
        <f>O50</f>
        <v>38</v>
      </c>
      <c r="Q50" s="46">
        <f>L47</f>
        <v>2.2745212410110511</v>
      </c>
      <c r="R50" s="7"/>
    </row>
    <row r="51" spans="1:18" ht="63" customHeight="1" thickBot="1" x14ac:dyDescent="0.5">
      <c r="A51" s="86"/>
      <c r="B51" s="64"/>
      <c r="C51" s="65"/>
      <c r="D51" s="65"/>
      <c r="E51" s="65"/>
      <c r="F51" s="65"/>
      <c r="G51" s="65"/>
      <c r="H51" s="65" t="s">
        <v>38</v>
      </c>
      <c r="I51" s="66">
        <f>I48+I49</f>
        <v>192.91</v>
      </c>
      <c r="J51" s="67" t="s">
        <v>13</v>
      </c>
      <c r="K51" s="68">
        <f>SUM(K47:K50)+$L$20+$L$21</f>
        <v>4.2619652879716785</v>
      </c>
      <c r="L51" s="69"/>
      <c r="M51" s="70"/>
      <c r="N51">
        <v>4</v>
      </c>
      <c r="O51">
        <f>D50+D49+D48+D47</f>
        <v>39</v>
      </c>
      <c r="P51" s="34">
        <f>O51</f>
        <v>39</v>
      </c>
      <c r="Q51" s="46">
        <f>M47</f>
        <v>2.16893614831449</v>
      </c>
      <c r="R51" s="7"/>
    </row>
    <row r="52" spans="1:18" s="81" customFormat="1" ht="63" customHeight="1" thickBot="1" x14ac:dyDescent="0.5">
      <c r="A52" s="87"/>
      <c r="B52" s="74"/>
      <c r="C52" s="75"/>
      <c r="D52" s="75"/>
      <c r="E52" s="75"/>
      <c r="F52" s="75"/>
      <c r="G52" s="75"/>
      <c r="H52" s="75"/>
      <c r="I52" s="76"/>
      <c r="J52" s="77"/>
      <c r="K52" s="78"/>
      <c r="L52" s="79"/>
      <c r="M52" s="80"/>
      <c r="Q52" s="82"/>
      <c r="R52" s="83"/>
    </row>
    <row r="53" spans="1:18" ht="23.4" x14ac:dyDescent="0.3">
      <c r="A53" s="84" t="s">
        <v>17</v>
      </c>
      <c r="B53" s="53" t="str">
        <f>B28</f>
        <v>Tynk zewnętrzny</v>
      </c>
      <c r="C53" s="54">
        <f>C28</f>
        <v>0.4</v>
      </c>
      <c r="D53" s="54">
        <f>D28</f>
        <v>1</v>
      </c>
      <c r="E53" s="54"/>
      <c r="F53" s="54"/>
      <c r="G53" s="54"/>
      <c r="H53" s="54"/>
      <c r="I53" s="54"/>
      <c r="J53" s="54"/>
      <c r="K53" s="55">
        <f>D53/100/C53</f>
        <v>2.4999999999999998E-2</v>
      </c>
      <c r="L53" s="56">
        <f>$D$2-((IF($E$2&lt;0,ABS($E$2-$D$2),$D$2-$E$2))/$K57)*($L$20+K56+K55+K54)</f>
        <v>2.2203640037277452</v>
      </c>
      <c r="M53" s="57">
        <f>$D$2-((IF($E$2&lt;0,ABS($E$2-$D$2),$D$2-$E$2))/$K57)*($L$20+K56+K55+K54+K53)</f>
        <v>2.13560861767861</v>
      </c>
      <c r="N53" s="34">
        <v>0</v>
      </c>
      <c r="O53" s="34">
        <v>0</v>
      </c>
      <c r="P53" s="34">
        <f>O53</f>
        <v>0</v>
      </c>
      <c r="Q53" s="46">
        <f>L56</f>
        <v>19.559271992544502</v>
      </c>
      <c r="R53" s="90">
        <f>IF($E$2&lt;0,ABS($E$2-$D$2),$D$21-$P$21)/$K57</f>
        <v>1.2242444651541613</v>
      </c>
    </row>
    <row r="54" spans="1:18" ht="23.4" x14ac:dyDescent="0.45">
      <c r="A54" s="85"/>
      <c r="B54" s="38" t="str">
        <f>B19</f>
        <v>Styropian</v>
      </c>
      <c r="C54" s="59">
        <f>C19</f>
        <v>3.6999999999999998E-2</v>
      </c>
      <c r="D54" s="59">
        <f>D19</f>
        <v>12</v>
      </c>
      <c r="E54" s="59">
        <f>P19</f>
        <v>13.5</v>
      </c>
      <c r="F54" s="59">
        <f>Q19</f>
        <v>1.3</v>
      </c>
      <c r="G54" s="59"/>
      <c r="H54" s="59"/>
      <c r="I54" s="59">
        <f>G19</f>
        <v>72</v>
      </c>
      <c r="J54" s="59"/>
      <c r="K54" s="60">
        <f>D54/100/C54</f>
        <v>3.2432432432432434</v>
      </c>
      <c r="L54" s="61">
        <f>$D$2-((IF($E$2&lt;0,ABS($E$2-$D$2),$D$2-$E$2))/$K57)*($L$20+K56+K55)</f>
        <v>13.215657329020839</v>
      </c>
      <c r="M54" s="62"/>
      <c r="N54" s="34">
        <v>1</v>
      </c>
      <c r="O54" s="34">
        <f>D56</f>
        <v>1</v>
      </c>
      <c r="P54" s="34">
        <f>O54</f>
        <v>1</v>
      </c>
      <c r="Q54" s="46">
        <f>L55</f>
        <v>19.474516606495367</v>
      </c>
      <c r="R54" s="7"/>
    </row>
    <row r="55" spans="1:18" ht="23.4" x14ac:dyDescent="0.45">
      <c r="A55" s="85"/>
      <c r="B55" s="38" t="str">
        <f>B24</f>
        <v>Beton komórkowy</v>
      </c>
      <c r="C55" s="59">
        <f>C24</f>
        <v>0.13</v>
      </c>
      <c r="D55" s="59">
        <f>D24</f>
        <v>24</v>
      </c>
      <c r="E55" s="59">
        <f>P24</f>
        <v>500</v>
      </c>
      <c r="F55" s="59">
        <f>Q24</f>
        <v>0.84</v>
      </c>
      <c r="G55" s="59"/>
      <c r="H55" s="59"/>
      <c r="I55" s="59">
        <f>G24</f>
        <v>128.31</v>
      </c>
      <c r="J55" s="59"/>
      <c r="K55" s="60">
        <f>D55/100/C55</f>
        <v>1.846153846153846</v>
      </c>
      <c r="L55" s="61">
        <f>$D$2-((IF($E$2&lt;0,ABS($E$2-$D$2),$D$2-$E$2))/$K57)*($L$20+K56)</f>
        <v>19.474516606495367</v>
      </c>
      <c r="M55" s="62"/>
      <c r="N55" s="34">
        <v>2</v>
      </c>
      <c r="O55" s="34">
        <f>D56+D55</f>
        <v>25</v>
      </c>
      <c r="P55" s="34">
        <f>O55</f>
        <v>25</v>
      </c>
      <c r="Q55" s="46">
        <f>L54</f>
        <v>13.215657329020839</v>
      </c>
      <c r="R55" s="7"/>
    </row>
    <row r="56" spans="1:18" ht="23.4" x14ac:dyDescent="0.45">
      <c r="A56" s="85"/>
      <c r="B56" s="38" t="str">
        <f>B50</f>
        <v>Tynk wewnętrzny</v>
      </c>
      <c r="C56" s="59">
        <f>C50</f>
        <v>0.4</v>
      </c>
      <c r="D56" s="59">
        <f>D50</f>
        <v>1</v>
      </c>
      <c r="E56" s="59"/>
      <c r="F56" s="59"/>
      <c r="G56" s="59"/>
      <c r="J56" s="72"/>
      <c r="K56" s="60">
        <f>D56/100/C56</f>
        <v>2.4999999999999998E-2</v>
      </c>
      <c r="L56" s="61">
        <f>$D$2-((IF($E$2&lt;0,ABS($E$2-$D$2),$D$2-$E$2))/$K57)*$L$20</f>
        <v>19.559271992544502</v>
      </c>
      <c r="M56" s="62"/>
      <c r="N56" s="34">
        <v>3</v>
      </c>
      <c r="O56" s="34">
        <f>D56+D55+D54</f>
        <v>37</v>
      </c>
      <c r="P56" s="34">
        <f>O56</f>
        <v>37</v>
      </c>
      <c r="Q56" s="46">
        <f>L53</f>
        <v>2.2203640037277452</v>
      </c>
      <c r="R56" s="7"/>
    </row>
    <row r="57" spans="1:18" ht="60" thickBot="1" x14ac:dyDescent="0.5">
      <c r="A57" s="86"/>
      <c r="B57" s="64"/>
      <c r="C57" s="65"/>
      <c r="D57" s="65"/>
      <c r="E57" s="65"/>
      <c r="F57" s="65"/>
      <c r="G57" s="65"/>
      <c r="H57" s="59" t="s">
        <v>38</v>
      </c>
      <c r="I57" s="72">
        <f>I54+I55</f>
        <v>200.31</v>
      </c>
      <c r="J57" s="67" t="s">
        <v>13</v>
      </c>
      <c r="K57" s="68">
        <f>SUM(K53:K56)+$L$20+$L$21</f>
        <v>5.3093970893970894</v>
      </c>
      <c r="L57" s="69"/>
      <c r="M57" s="70"/>
      <c r="N57" s="34">
        <v>4</v>
      </c>
      <c r="O57" s="34">
        <f>D56+D55+D54+D53</f>
        <v>38</v>
      </c>
      <c r="P57" s="34">
        <f>O57</f>
        <v>38</v>
      </c>
      <c r="Q57" s="46">
        <f>M53</f>
        <v>2.13560861767861</v>
      </c>
      <c r="R57" s="7"/>
    </row>
    <row r="58" spans="1:18" s="81" customFormat="1" ht="63" customHeight="1" thickBot="1" x14ac:dyDescent="0.5">
      <c r="A58" s="87"/>
      <c r="B58" s="74"/>
      <c r="C58" s="75"/>
      <c r="D58" s="75"/>
      <c r="E58" s="75"/>
      <c r="F58" s="75"/>
      <c r="G58" s="75"/>
      <c r="H58" s="75"/>
      <c r="I58" s="76"/>
      <c r="J58" s="77"/>
      <c r="K58" s="78"/>
      <c r="L58" s="79"/>
      <c r="M58" s="80"/>
      <c r="Q58" s="82"/>
      <c r="R58" s="83"/>
    </row>
    <row r="59" spans="1:18" s="34" customFormat="1" ht="23.4" x14ac:dyDescent="0.3">
      <c r="A59" s="84" t="s">
        <v>18</v>
      </c>
      <c r="B59" s="53" t="str">
        <f>B28</f>
        <v>Tynk zewnętrzny</v>
      </c>
      <c r="C59" s="54">
        <f>C28</f>
        <v>0.4</v>
      </c>
      <c r="D59" s="54">
        <f>D28</f>
        <v>1</v>
      </c>
      <c r="E59" s="54"/>
      <c r="F59" s="54"/>
      <c r="G59" s="54"/>
      <c r="H59" s="54"/>
      <c r="I59" s="54"/>
      <c r="J59" s="54"/>
      <c r="K59" s="55">
        <f>D59/100/C59</f>
        <v>2.4999999999999998E-2</v>
      </c>
      <c r="L59" s="56">
        <f>$D$2-((IF($E$2&lt;0,ABS($E$2-$D$2),$D$2-$E$2))/$K63)*($L$20+K62+K61+K60)</f>
        <v>2.2992578547409863</v>
      </c>
      <c r="M59" s="57">
        <f>$D$2-((IF($E$2&lt;0,ABS($E$2-$D$2),$D$2-$E$2))/$K63)*($L$20+K62+K61+K60+K59)</f>
        <v>2.184158679840607</v>
      </c>
      <c r="N59" s="34">
        <v>0</v>
      </c>
      <c r="O59" s="34">
        <v>0</v>
      </c>
      <c r="P59" s="34">
        <f>O59</f>
        <v>0</v>
      </c>
      <c r="Q59" s="46">
        <f>L62</f>
        <v>19.40148429051802</v>
      </c>
      <c r="R59" s="90">
        <f>IF($E$2&lt;0,ABS($E$2-$D$2),$D$21-$P$21)/$K63</f>
        <v>1.6625436374499436</v>
      </c>
    </row>
    <row r="60" spans="1:18" ht="23.4" x14ac:dyDescent="0.45">
      <c r="A60" s="85"/>
      <c r="B60" s="38" t="str">
        <f>B19</f>
        <v>Styropian</v>
      </c>
      <c r="C60" s="59">
        <f>C19</f>
        <v>3.6999999999999998E-2</v>
      </c>
      <c r="D60" s="59">
        <f>D19</f>
        <v>12</v>
      </c>
      <c r="E60" s="59">
        <f>P19</f>
        <v>13.5</v>
      </c>
      <c r="F60" s="59">
        <f>Q19</f>
        <v>1.3</v>
      </c>
      <c r="G60" s="59"/>
      <c r="H60" s="59"/>
      <c r="I60" s="59">
        <f>G19</f>
        <v>72</v>
      </c>
      <c r="J60" s="59"/>
      <c r="K60" s="60">
        <f>D60/100/C60</f>
        <v>3.2432432432432434</v>
      </c>
      <c r="L60" s="61">
        <f>$D$2-((IF($E$2&lt;0,ABS($E$2-$D$2),$D$2-$E$2))/$K63)*($L$20+K62+K61)</f>
        <v>17.23104270668227</v>
      </c>
      <c r="M60" s="62"/>
      <c r="N60" s="34">
        <v>1</v>
      </c>
      <c r="O60" s="34">
        <f>D62</f>
        <v>1</v>
      </c>
      <c r="P60" s="34">
        <f>O60</f>
        <v>1</v>
      </c>
      <c r="Q60" s="46">
        <f>L61</f>
        <v>19.286385115617641</v>
      </c>
      <c r="R60" s="7"/>
    </row>
    <row r="61" spans="1:18" ht="23.4" x14ac:dyDescent="0.45">
      <c r="A61" s="85"/>
      <c r="B61" s="38" t="str">
        <f>B25</f>
        <v>Bloczki silikatowe</v>
      </c>
      <c r="C61" s="59">
        <f>C25</f>
        <v>0.56000000000000005</v>
      </c>
      <c r="D61" s="59">
        <f>D25</f>
        <v>25</v>
      </c>
      <c r="E61" s="59">
        <f>P25</f>
        <v>1600</v>
      </c>
      <c r="F61" s="59">
        <f>Q25</f>
        <v>0.88</v>
      </c>
      <c r="G61" s="59"/>
      <c r="H61" s="59"/>
      <c r="I61" s="59">
        <f>G25</f>
        <v>135.72</v>
      </c>
      <c r="J61" s="59"/>
      <c r="K61" s="60">
        <f>D61/100/C61</f>
        <v>0.4464285714285714</v>
      </c>
      <c r="L61" s="61">
        <f>$D$2-((IF($E$2&lt;0,ABS($E$2-$D$2),$D$2-$E$2))/$K63)*($L$20+K62)</f>
        <v>19.286385115617641</v>
      </c>
      <c r="M61" s="62"/>
      <c r="N61" s="34">
        <v>2</v>
      </c>
      <c r="O61" s="34">
        <f>D62+D61</f>
        <v>26</v>
      </c>
      <c r="P61" s="34">
        <f>O61</f>
        <v>26</v>
      </c>
      <c r="Q61" s="46">
        <f>L60</f>
        <v>17.23104270668227</v>
      </c>
      <c r="R61" s="7"/>
    </row>
    <row r="62" spans="1:18" s="34" customFormat="1" ht="23.4" x14ac:dyDescent="0.45">
      <c r="A62" s="85"/>
      <c r="B62" s="38" t="str">
        <f>B56</f>
        <v>Tynk wewnętrzny</v>
      </c>
      <c r="C62" s="59">
        <f>C56</f>
        <v>0.4</v>
      </c>
      <c r="D62" s="59">
        <f>D56</f>
        <v>1</v>
      </c>
      <c r="E62" s="59"/>
      <c r="F62" s="59"/>
      <c r="G62" s="59"/>
      <c r="H62" s="59"/>
      <c r="I62" s="59"/>
      <c r="J62" s="59"/>
      <c r="K62" s="60">
        <f>D62/100/C62</f>
        <v>2.4999999999999998E-2</v>
      </c>
      <c r="L62" s="61">
        <f>$D$2-((IF($E$2&lt;0,ABS($E$2-$D$2),$D$2-$E$2))/$K63)*$L$20</f>
        <v>19.40148429051802</v>
      </c>
      <c r="M62" s="62"/>
      <c r="N62" s="34">
        <v>3</v>
      </c>
      <c r="O62" s="34">
        <f>D62+D61+D60</f>
        <v>38</v>
      </c>
      <c r="P62" s="34">
        <f>O62</f>
        <v>38</v>
      </c>
      <c r="Q62" s="46">
        <f>L59</f>
        <v>2.2992578547409863</v>
      </c>
      <c r="R62" s="36"/>
    </row>
    <row r="63" spans="1:18" ht="60" thickBot="1" x14ac:dyDescent="0.5">
      <c r="A63" s="86"/>
      <c r="B63" s="64"/>
      <c r="C63" s="65"/>
      <c r="D63" s="65"/>
      <c r="E63" s="65"/>
      <c r="F63" s="65"/>
      <c r="G63" s="65"/>
      <c r="H63" s="65" t="s">
        <v>38</v>
      </c>
      <c r="I63" s="66">
        <f>I60+I61</f>
        <v>207.72</v>
      </c>
      <c r="J63" s="67" t="s">
        <v>13</v>
      </c>
      <c r="K63" s="68">
        <f>SUM(K59:K62)+$L$20+$L$21</f>
        <v>3.9096718146718143</v>
      </c>
      <c r="L63" s="69"/>
      <c r="M63" s="70"/>
      <c r="N63" s="34">
        <v>4</v>
      </c>
      <c r="O63" s="34">
        <f>D62+D61+D60+D59</f>
        <v>39</v>
      </c>
      <c r="P63" s="34">
        <f>O63</f>
        <v>39</v>
      </c>
      <c r="Q63" s="46">
        <f>M59</f>
        <v>2.184158679840607</v>
      </c>
      <c r="R63" s="7"/>
    </row>
    <row r="64" spans="1:18" s="81" customFormat="1" ht="63" customHeight="1" thickBot="1" x14ac:dyDescent="0.5">
      <c r="A64" s="87"/>
      <c r="B64" s="74"/>
      <c r="C64" s="75"/>
      <c r="D64" s="75"/>
      <c r="E64" s="75"/>
      <c r="F64" s="75"/>
      <c r="G64" s="75"/>
      <c r="H64" s="75"/>
      <c r="I64" s="76"/>
      <c r="J64" s="77"/>
      <c r="K64" s="78"/>
      <c r="L64" s="79"/>
      <c r="M64" s="80"/>
      <c r="Q64" s="82"/>
      <c r="R64" s="83"/>
    </row>
    <row r="65" spans="1:18" ht="23.4" x14ac:dyDescent="0.3">
      <c r="A65" s="84" t="s">
        <v>31</v>
      </c>
      <c r="B65" s="53" t="str">
        <f>B28</f>
        <v>Tynk zewnętrzny</v>
      </c>
      <c r="C65" s="54">
        <f>C28</f>
        <v>0.4</v>
      </c>
      <c r="D65" s="54">
        <f>D28</f>
        <v>1</v>
      </c>
      <c r="E65" s="54"/>
      <c r="F65" s="54"/>
      <c r="G65" s="54"/>
      <c r="H65" s="54"/>
      <c r="I65" s="54"/>
      <c r="J65" s="54"/>
      <c r="K65" s="55">
        <f>D65/100/C65</f>
        <v>2.4999999999999998E-2</v>
      </c>
      <c r="L65" s="56">
        <f>$D$2-((IF($E$2&lt;0,ABS($E$2-$D$2),$D$2-$E$2))/$K69)*($L$20+K68+K67+K66)</f>
        <v>2.230642941304037</v>
      </c>
      <c r="M65" s="57">
        <f>$D$2-((IF($E$2&lt;0,ABS($E$2-$D$2),$D$2-$E$2))/$K69)*($L$20+K68+K67+K66+K65)</f>
        <v>2.1419341177255617</v>
      </c>
      <c r="N65" s="34">
        <v>0</v>
      </c>
      <c r="O65" s="34">
        <v>0</v>
      </c>
      <c r="P65" s="34">
        <f>O65</f>
        <v>0</v>
      </c>
      <c r="Q65" s="46">
        <f>L68</f>
        <v>19.53871411739193</v>
      </c>
      <c r="R65" s="90">
        <f>IF($E$2&lt;0,ABS($E$2-$D$2),$D$21-$P$21)/$K69</f>
        <v>1.2813496739113039</v>
      </c>
    </row>
    <row r="66" spans="1:18" ht="23.4" x14ac:dyDescent="0.45">
      <c r="A66" s="85"/>
      <c r="B66" s="38" t="str">
        <f>B20</f>
        <v>Styropian</v>
      </c>
      <c r="C66" s="59">
        <f>C20</f>
        <v>3.6999999999999998E-2</v>
      </c>
      <c r="D66" s="59">
        <f>D20</f>
        <v>15</v>
      </c>
      <c r="E66" s="59">
        <f>P20</f>
        <v>13.5</v>
      </c>
      <c r="F66" s="59">
        <f>Q20</f>
        <v>1.3</v>
      </c>
      <c r="G66" s="59"/>
      <c r="H66" s="59"/>
      <c r="I66" s="59">
        <f>G20</f>
        <v>90</v>
      </c>
      <c r="J66" s="59"/>
      <c r="K66" s="60">
        <f>D66/100/C66</f>
        <v>4.0540540540540544</v>
      </c>
      <c r="L66" s="61">
        <f>$D$2-((IF($E$2&lt;0,ABS($E$2-$D$2),$D$2-$E$2))/$K69)*($L$20+K68+K67)</f>
        <v>16.615857575651319</v>
      </c>
      <c r="M66" s="62"/>
      <c r="N66" s="34">
        <v>1</v>
      </c>
      <c r="O66" s="34">
        <f>D68</f>
        <v>1</v>
      </c>
      <c r="P66" s="34">
        <f>O66</f>
        <v>1</v>
      </c>
      <c r="Q66" s="46">
        <f>L67</f>
        <v>19.450005293813454</v>
      </c>
      <c r="R66" s="7"/>
    </row>
    <row r="67" spans="1:18" ht="23.4" x14ac:dyDescent="0.45">
      <c r="A67" s="85"/>
      <c r="B67" s="38" t="str">
        <f>B23</f>
        <v>Pustak ceramiczny</v>
      </c>
      <c r="C67" s="59">
        <f>C23</f>
        <v>0.313</v>
      </c>
      <c r="D67" s="59">
        <f>D23</f>
        <v>25</v>
      </c>
      <c r="E67" s="59">
        <f>P23</f>
        <v>800</v>
      </c>
      <c r="F67" s="59">
        <f>Q23</f>
        <v>0.88</v>
      </c>
      <c r="G67" s="59"/>
      <c r="H67" s="59"/>
      <c r="I67" s="59">
        <f>G23</f>
        <v>120.91</v>
      </c>
      <c r="J67" s="59"/>
      <c r="K67" s="60">
        <f>D67/100/C67</f>
        <v>0.79872204472843455</v>
      </c>
      <c r="L67" s="61">
        <f>$D$2-((IF($E$2&lt;0,ABS($E$2-$D$2),$D$2-$E$2))/$K69)*($L$20+K68)</f>
        <v>19.450005293813454</v>
      </c>
      <c r="M67" s="62"/>
      <c r="N67" s="34">
        <v>2</v>
      </c>
      <c r="O67" s="34">
        <f>D68+D67</f>
        <v>26</v>
      </c>
      <c r="P67" s="34">
        <f>O67</f>
        <v>26</v>
      </c>
      <c r="Q67" s="46">
        <f>L66</f>
        <v>16.615857575651319</v>
      </c>
      <c r="R67" s="7"/>
    </row>
    <row r="68" spans="1:18" s="34" customFormat="1" ht="23.4" x14ac:dyDescent="0.45">
      <c r="A68" s="85"/>
      <c r="B68" s="38" t="str">
        <f>B62</f>
        <v>Tynk wewnętrzny</v>
      </c>
      <c r="C68" s="59">
        <f>C62</f>
        <v>0.4</v>
      </c>
      <c r="D68" s="59">
        <f>D62</f>
        <v>1</v>
      </c>
      <c r="E68" s="59"/>
      <c r="F68" s="59"/>
      <c r="G68" s="59"/>
      <c r="H68" s="59"/>
      <c r="I68" s="59"/>
      <c r="J68" s="59"/>
      <c r="K68" s="60">
        <f>D68/100/C68</f>
        <v>2.4999999999999998E-2</v>
      </c>
      <c r="L68" s="61">
        <f>$D$2-((IF($E$2&lt;0,ABS($E$2-$D$2),$D$2-$E$2))/$K69)*$L$20</f>
        <v>19.53871411739193</v>
      </c>
      <c r="M68" s="62"/>
      <c r="N68" s="34">
        <v>3</v>
      </c>
      <c r="O68" s="34">
        <f>D68+D67+D66</f>
        <v>41</v>
      </c>
      <c r="P68" s="34">
        <f>O68</f>
        <v>41</v>
      </c>
      <c r="Q68" s="46">
        <f>L65</f>
        <v>2.230642941304037</v>
      </c>
      <c r="R68" s="36"/>
    </row>
    <row r="69" spans="1:18" ht="60" thickBot="1" x14ac:dyDescent="0.5">
      <c r="A69" s="86"/>
      <c r="B69" s="64"/>
      <c r="C69" s="65"/>
      <c r="D69" s="65"/>
      <c r="E69" s="65"/>
      <c r="F69" s="65"/>
      <c r="G69" s="65"/>
      <c r="H69" s="65" t="s">
        <v>38</v>
      </c>
      <c r="I69" s="66">
        <f>I66+I67</f>
        <v>210.91</v>
      </c>
      <c r="J69" s="67" t="s">
        <v>13</v>
      </c>
      <c r="K69" s="68">
        <f>SUM(K65:K68)+$L$20+$L$21</f>
        <v>5.0727760987824899</v>
      </c>
      <c r="L69" s="69"/>
      <c r="M69" s="70"/>
      <c r="N69" s="34">
        <v>4</v>
      </c>
      <c r="O69" s="34">
        <f>D68+D67+D66+D65</f>
        <v>42</v>
      </c>
      <c r="P69" s="34">
        <f>O69</f>
        <v>42</v>
      </c>
      <c r="Q69" s="46">
        <f>M65</f>
        <v>2.1419341177255617</v>
      </c>
      <c r="R69" s="7"/>
    </row>
    <row r="70" spans="1:18" s="81" customFormat="1" ht="63" customHeight="1" thickBot="1" x14ac:dyDescent="0.5">
      <c r="A70" s="87"/>
      <c r="B70" s="74"/>
      <c r="C70" s="75"/>
      <c r="D70" s="75"/>
      <c r="E70" s="75"/>
      <c r="F70" s="75"/>
      <c r="G70" s="75"/>
      <c r="H70" s="75"/>
      <c r="I70" s="76"/>
      <c r="J70" s="77"/>
      <c r="K70" s="78"/>
      <c r="L70" s="79"/>
      <c r="M70" s="80"/>
      <c r="Q70" s="82"/>
      <c r="R70" s="83"/>
    </row>
    <row r="71" spans="1:18" ht="23.4" x14ac:dyDescent="0.3">
      <c r="A71" s="84" t="s">
        <v>32</v>
      </c>
      <c r="B71" s="53" t="str">
        <f>B28</f>
        <v>Tynk zewnętrzny</v>
      </c>
      <c r="C71" s="54">
        <f>C28</f>
        <v>0.4</v>
      </c>
      <c r="D71" s="54">
        <f>D28</f>
        <v>1</v>
      </c>
      <c r="E71" s="54"/>
      <c r="F71" s="54"/>
      <c r="G71" s="54"/>
      <c r="H71" s="54"/>
      <c r="I71" s="54"/>
      <c r="J71" s="54"/>
      <c r="K71" s="55">
        <f>D71/100/C71</f>
        <v>2.4999999999999998E-2</v>
      </c>
      <c r="L71" s="56">
        <f>$D$2-((IF($E$2&lt;0,ABS($E$2-$D$2),$D$2-$E$2))/$K75)*($L$20+K74+K73+K72)</f>
        <v>2.19116997642519</v>
      </c>
      <c r="M71" s="57">
        <f>$D$2-((IF($E$2&lt;0,ABS($E$2-$D$2),$D$2-$E$2))/$K75)*($L$20+K74+K73+K72+K71)</f>
        <v>2.1176430624155032</v>
      </c>
      <c r="N71" s="34">
        <v>0</v>
      </c>
      <c r="O71" s="34">
        <v>0</v>
      </c>
      <c r="P71" s="34">
        <f>O71</f>
        <v>0</v>
      </c>
      <c r="Q71" s="46">
        <f>L74</f>
        <v>19.617660047149624</v>
      </c>
      <c r="R71" s="90">
        <f>IF($E$2&lt;0,ABS($E$2-$D$2),$D$21-$P$21)/$K75</f>
        <v>1.0620554245843834</v>
      </c>
    </row>
    <row r="72" spans="1:18" ht="23.4" x14ac:dyDescent="0.45">
      <c r="A72" s="85"/>
      <c r="B72" s="38" t="str">
        <f>B20</f>
        <v>Styropian</v>
      </c>
      <c r="C72" s="59">
        <f>C20</f>
        <v>3.6999999999999998E-2</v>
      </c>
      <c r="D72" s="59">
        <f>D20</f>
        <v>15</v>
      </c>
      <c r="E72" s="59">
        <f>P20</f>
        <v>13.5</v>
      </c>
      <c r="F72" s="59">
        <f>Q20</f>
        <v>1.3</v>
      </c>
      <c r="G72" s="59"/>
      <c r="H72" s="59"/>
      <c r="I72" s="59">
        <f>G20</f>
        <v>90</v>
      </c>
      <c r="J72" s="59"/>
      <c r="K72" s="60">
        <f>D72/100/C72</f>
        <v>4.0540540540540544</v>
      </c>
      <c r="L72" s="61">
        <f>$D$2-((IF($E$2&lt;0,ABS($E$2-$D$2),$D$2-$E$2))/$K75)*($L$20+K74+K73)</f>
        <v>14.114453329347583</v>
      </c>
      <c r="M72" s="62"/>
      <c r="N72" s="34">
        <v>1</v>
      </c>
      <c r="O72" s="34">
        <f>D74</f>
        <v>1</v>
      </c>
      <c r="P72" s="34">
        <f>O72</f>
        <v>1</v>
      </c>
      <c r="Q72" s="46">
        <f>L73</f>
        <v>19.544133133139933</v>
      </c>
      <c r="R72" s="7"/>
    </row>
    <row r="73" spans="1:18" ht="23.4" x14ac:dyDescent="0.45">
      <c r="A73" s="85"/>
      <c r="B73" s="38" t="str">
        <f>B24</f>
        <v>Beton komórkowy</v>
      </c>
      <c r="C73" s="59">
        <f>C24</f>
        <v>0.13</v>
      </c>
      <c r="D73" s="59">
        <f>D24</f>
        <v>24</v>
      </c>
      <c r="E73" s="59">
        <f>P24</f>
        <v>500</v>
      </c>
      <c r="F73" s="59">
        <f>Q24</f>
        <v>0.84</v>
      </c>
      <c r="G73" s="59"/>
      <c r="H73" s="59"/>
      <c r="I73" s="59">
        <f>G24</f>
        <v>128.31</v>
      </c>
      <c r="J73" s="59"/>
      <c r="K73" s="60">
        <f>D73/100/C73</f>
        <v>1.846153846153846</v>
      </c>
      <c r="L73" s="61">
        <f>$D$2-((IF($E$2&lt;0,ABS($E$2-$D$2),$D$2-$E$2))/$K75)*($L$20+K74)</f>
        <v>19.544133133139933</v>
      </c>
      <c r="M73" s="62"/>
      <c r="N73" s="34">
        <v>2</v>
      </c>
      <c r="O73" s="34">
        <f>D74+D73</f>
        <v>25</v>
      </c>
      <c r="P73" s="34">
        <f>O73</f>
        <v>25</v>
      </c>
      <c r="Q73" s="46">
        <f>L72</f>
        <v>14.114453329347583</v>
      </c>
      <c r="R73" s="7"/>
    </row>
    <row r="74" spans="1:18" s="34" customFormat="1" ht="23.4" x14ac:dyDescent="0.45">
      <c r="A74" s="85"/>
      <c r="B74" s="38" t="str">
        <f>B68</f>
        <v>Tynk wewnętrzny</v>
      </c>
      <c r="C74" s="59">
        <f>C68</f>
        <v>0.4</v>
      </c>
      <c r="D74" s="59">
        <f>D68</f>
        <v>1</v>
      </c>
      <c r="E74" s="59"/>
      <c r="F74" s="59"/>
      <c r="G74" s="59"/>
      <c r="H74" s="59"/>
      <c r="I74" s="59"/>
      <c r="J74" s="59"/>
      <c r="K74" s="60">
        <f>D74/100/C74</f>
        <v>2.4999999999999998E-2</v>
      </c>
      <c r="L74" s="61">
        <f>$D$2-((IF($E$2&lt;0,ABS($E$2-$D$2),$D$2-$E$2))/$K75)*$L$20</f>
        <v>19.617660047149624</v>
      </c>
      <c r="M74" s="62"/>
      <c r="N74" s="34">
        <v>3</v>
      </c>
      <c r="O74" s="34">
        <f>D74+D73+D72</f>
        <v>40</v>
      </c>
      <c r="P74" s="34">
        <f>O74</f>
        <v>40</v>
      </c>
      <c r="Q74" s="46">
        <f>L71</f>
        <v>2.19116997642519</v>
      </c>
      <c r="R74" s="36"/>
    </row>
    <row r="75" spans="1:18" ht="60" thickBot="1" x14ac:dyDescent="0.5">
      <c r="A75" s="86"/>
      <c r="B75" s="64"/>
      <c r="C75" s="65"/>
      <c r="D75" s="65"/>
      <c r="E75" s="65"/>
      <c r="F75" s="65"/>
      <c r="G75" s="65"/>
      <c r="H75" s="65" t="s">
        <v>38</v>
      </c>
      <c r="I75" s="66">
        <f>I72+I73</f>
        <v>218.31</v>
      </c>
      <c r="J75" s="67" t="s">
        <v>13</v>
      </c>
      <c r="K75" s="68">
        <f>SUM(K71:K74)+$L$20+$L$21</f>
        <v>6.1202079002079008</v>
      </c>
      <c r="L75" s="69"/>
      <c r="M75" s="70"/>
      <c r="N75" s="34">
        <v>4</v>
      </c>
      <c r="O75" s="34">
        <f>D74+D73+D72+D71</f>
        <v>41</v>
      </c>
      <c r="P75" s="34">
        <f>O75</f>
        <v>41</v>
      </c>
      <c r="Q75" s="46">
        <f>M71</f>
        <v>2.1176430624155032</v>
      </c>
      <c r="R75" s="7"/>
    </row>
    <row r="76" spans="1:18" s="81" customFormat="1" ht="63" customHeight="1" thickBot="1" x14ac:dyDescent="0.5">
      <c r="A76" s="87"/>
      <c r="B76" s="74"/>
      <c r="C76" s="75"/>
      <c r="D76" s="75"/>
      <c r="E76" s="75"/>
      <c r="F76" s="75"/>
      <c r="G76" s="75"/>
      <c r="H76" s="75"/>
      <c r="I76" s="76"/>
      <c r="J76" s="77"/>
      <c r="K76" s="78"/>
      <c r="L76" s="79"/>
      <c r="M76" s="80"/>
      <c r="Q76" s="82"/>
      <c r="R76" s="83"/>
    </row>
    <row r="77" spans="1:18" ht="23.4" x14ac:dyDescent="0.3">
      <c r="A77" s="84" t="s">
        <v>33</v>
      </c>
      <c r="B77" s="53" t="str">
        <f>B71</f>
        <v>Tynk zewnętrzny</v>
      </c>
      <c r="C77" s="54">
        <f t="shared" ref="C77:D77" si="3">C71</f>
        <v>0.4</v>
      </c>
      <c r="D77" s="54">
        <f t="shared" si="3"/>
        <v>1</v>
      </c>
      <c r="E77" s="54"/>
      <c r="F77" s="54"/>
      <c r="G77" s="54"/>
      <c r="H77" s="54"/>
      <c r="I77" s="54"/>
      <c r="J77" s="54"/>
      <c r="K77" s="55">
        <f>D77/100/C77</f>
        <v>2.4999999999999998E-2</v>
      </c>
      <c r="L77" s="56">
        <f>$D$2-((IF($E$2&lt;0,ABS($E$2-$D$2),$D$2-$E$2))/$K81)*($L$20+K80+K79+K78)</f>
        <v>2.2478560123670377</v>
      </c>
      <c r="M77" s="57">
        <f>$D$2-((IF($E$2&lt;0,ABS($E$2-$D$2),$D$2-$E$2))/$K81)*($L$20+K80+K79+K78+K77)</f>
        <v>2.1525267768412526</v>
      </c>
      <c r="N77" s="34">
        <v>0</v>
      </c>
      <c r="O77" s="34">
        <v>0</v>
      </c>
      <c r="P77" s="34">
        <f>O77</f>
        <v>0</v>
      </c>
      <c r="Q77" s="46">
        <f>L80</f>
        <v>19.504287975265928</v>
      </c>
      <c r="R77" s="90">
        <f>IF($E$2&lt;0,ABS($E$2-$D$2),$D$21-$P$21)/$K81</f>
        <v>1.3769778464835329</v>
      </c>
    </row>
    <row r="78" spans="1:18" ht="23.4" x14ac:dyDescent="0.45">
      <c r="A78" s="85"/>
      <c r="B78" s="38" t="str">
        <f>B20</f>
        <v>Styropian</v>
      </c>
      <c r="C78" s="59">
        <f>C20</f>
        <v>3.6999999999999998E-2</v>
      </c>
      <c r="D78" s="59">
        <f>D20</f>
        <v>15</v>
      </c>
      <c r="E78" s="59">
        <f>P20</f>
        <v>13.5</v>
      </c>
      <c r="F78" s="59">
        <f>Q20</f>
        <v>1.3</v>
      </c>
      <c r="G78" s="59"/>
      <c r="H78" s="59"/>
      <c r="I78" s="59">
        <f>G20</f>
        <v>90</v>
      </c>
      <c r="J78" s="59"/>
      <c r="K78" s="60">
        <f>D78/100/C78</f>
        <v>4.0540540540540544</v>
      </c>
      <c r="L78" s="61">
        <f>$D$2-((IF($E$2&lt;0,ABS($E$2-$D$2),$D$2-$E$2))/$K81)*($L$20+K80+K79)</f>
        <v>17.70665096249402</v>
      </c>
      <c r="M78" s="62"/>
      <c r="N78" s="34">
        <v>1</v>
      </c>
      <c r="O78" s="34">
        <f>D80</f>
        <v>1</v>
      </c>
      <c r="P78" s="34">
        <f>O78</f>
        <v>1</v>
      </c>
      <c r="Q78" s="46">
        <f>L79</f>
        <v>19.408958739740147</v>
      </c>
      <c r="R78" s="7"/>
    </row>
    <row r="79" spans="1:18" ht="23.4" x14ac:dyDescent="0.45">
      <c r="A79" s="85"/>
      <c r="B79" s="38" t="str">
        <f>B25</f>
        <v>Bloczki silikatowe</v>
      </c>
      <c r="C79" s="59">
        <f>C25</f>
        <v>0.56000000000000005</v>
      </c>
      <c r="D79" s="59">
        <f>D25</f>
        <v>25</v>
      </c>
      <c r="E79" s="59">
        <f>P25</f>
        <v>1600</v>
      </c>
      <c r="F79" s="59">
        <f>Q25</f>
        <v>0.88</v>
      </c>
      <c r="G79" s="59"/>
      <c r="H79" s="59"/>
      <c r="I79" s="59">
        <f>G25</f>
        <v>135.72</v>
      </c>
      <c r="J79" s="59"/>
      <c r="K79" s="60">
        <f>D79/100/C79</f>
        <v>0.4464285714285714</v>
      </c>
      <c r="L79" s="61">
        <f>$D$2-((IF($E$2&lt;0,ABS($E$2-$D$2),$D$2-$E$2))/$K81)*($L$20+K80)</f>
        <v>19.408958739740147</v>
      </c>
      <c r="M79" s="62"/>
      <c r="N79" s="34">
        <v>2</v>
      </c>
      <c r="O79" s="34">
        <f>D80+D79</f>
        <v>26</v>
      </c>
      <c r="P79" s="34">
        <f>O79</f>
        <v>26</v>
      </c>
      <c r="Q79" s="46">
        <f>L78</f>
        <v>17.70665096249402</v>
      </c>
      <c r="R79" s="7"/>
    </row>
    <row r="80" spans="1:18" ht="23.4" x14ac:dyDescent="0.45">
      <c r="A80" s="85"/>
      <c r="B80" s="38" t="str">
        <f>B74</f>
        <v>Tynk wewnętrzny</v>
      </c>
      <c r="C80" s="59">
        <f>C74</f>
        <v>0.4</v>
      </c>
      <c r="D80" s="59">
        <f>D74</f>
        <v>1</v>
      </c>
      <c r="E80" s="59"/>
      <c r="F80" s="59"/>
      <c r="G80" s="59"/>
      <c r="H80" s="38"/>
      <c r="I80" s="38"/>
      <c r="J80" s="38"/>
      <c r="K80" s="60">
        <f>D80/100/C80</f>
        <v>2.4999999999999998E-2</v>
      </c>
      <c r="L80" s="61">
        <f>$D$2-((IF($E$2&lt;0,ABS($E$2-$D$2),$D$2-$E$2))/$K81)*$L$20</f>
        <v>19.504287975265928</v>
      </c>
      <c r="M80" s="62"/>
      <c r="N80" s="34">
        <v>3</v>
      </c>
      <c r="O80" s="34">
        <f>D80+D79+D78</f>
        <v>41</v>
      </c>
      <c r="P80" s="34">
        <f>O80</f>
        <v>41</v>
      </c>
      <c r="Q80" s="46">
        <f>L77</f>
        <v>2.2478560123670377</v>
      </c>
      <c r="R80" s="7"/>
    </row>
    <row r="81" spans="1:18" s="34" customFormat="1" ht="60" thickBot="1" x14ac:dyDescent="0.5">
      <c r="A81" s="86"/>
      <c r="B81" s="64"/>
      <c r="C81" s="65"/>
      <c r="D81" s="65"/>
      <c r="E81" s="65"/>
      <c r="F81" s="65"/>
      <c r="G81" s="65"/>
      <c r="H81" s="65" t="s">
        <v>38</v>
      </c>
      <c r="I81" s="66">
        <f>I78+I79</f>
        <v>225.72</v>
      </c>
      <c r="J81" s="67" t="s">
        <v>13</v>
      </c>
      <c r="K81" s="68">
        <f>SUM(K77:K80)+$L$20+$L$21</f>
        <v>4.7204826254826262</v>
      </c>
      <c r="L81" s="69"/>
      <c r="M81" s="70"/>
      <c r="N81" s="34">
        <v>4</v>
      </c>
      <c r="O81" s="34">
        <f>D80+D79+D78+D77</f>
        <v>42</v>
      </c>
      <c r="P81" s="34">
        <f>O81</f>
        <v>42</v>
      </c>
      <c r="Q81" s="46">
        <f>M77</f>
        <v>2.1525267768412526</v>
      </c>
      <c r="R81" s="36"/>
    </row>
    <row r="82" spans="1:18" s="81" customFormat="1" ht="63" customHeight="1" thickBot="1" x14ac:dyDescent="0.5">
      <c r="A82" s="87"/>
      <c r="B82" s="74"/>
      <c r="C82" s="75"/>
      <c r="D82" s="75"/>
      <c r="E82" s="75"/>
      <c r="F82" s="75"/>
      <c r="G82" s="75"/>
      <c r="H82" s="75"/>
      <c r="I82" s="76"/>
      <c r="J82" s="77"/>
      <c r="K82" s="78"/>
      <c r="L82" s="79"/>
      <c r="M82" s="80"/>
      <c r="Q82" s="82"/>
      <c r="R82" s="83"/>
    </row>
    <row r="83" spans="1:18" ht="23.4" x14ac:dyDescent="0.3">
      <c r="A83" s="84" t="s">
        <v>34</v>
      </c>
      <c r="B83" s="53" t="str">
        <f>B77</f>
        <v>Tynk zewnętrzny</v>
      </c>
      <c r="C83" s="54">
        <f t="shared" ref="C83:D83" si="4">C77</f>
        <v>0.4</v>
      </c>
      <c r="D83" s="54">
        <f t="shared" si="4"/>
        <v>1</v>
      </c>
      <c r="E83" s="54"/>
      <c r="F83" s="54"/>
      <c r="G83" s="54"/>
      <c r="H83" s="54"/>
      <c r="I83" s="54"/>
      <c r="J83" s="54"/>
      <c r="K83" s="55">
        <f>D83/100/C83</f>
        <v>2.4999999999999998E-2</v>
      </c>
      <c r="L83" s="56">
        <f>$D$2-((IF($E$2&lt;0,ABS($E$2-$D$2),$D$2-$E$2))/$K87)*($L$20+K86+K85+K84)</f>
        <v>2.182125901000866</v>
      </c>
      <c r="M83" s="57">
        <f>$D$2-((IF($E$2&lt;0,ABS($E$2-$D$2),$D$2-$E$2))/$K87)*($L$20+K86+K85+K84+K83)</f>
        <v>2.1120774775389961</v>
      </c>
      <c r="N83" s="34">
        <v>0</v>
      </c>
      <c r="O83" s="34">
        <v>0</v>
      </c>
      <c r="P83" s="34">
        <f>O83</f>
        <v>0</v>
      </c>
      <c r="Q83" s="46">
        <f>L86</f>
        <v>19.635748197998275</v>
      </c>
      <c r="R83" s="90">
        <f>IF($E$2&lt;0,ABS($E$2-$D$2),$D$21-$P$21)/$K87</f>
        <v>1.0118105611159034</v>
      </c>
    </row>
    <row r="84" spans="1:18" ht="23.4" x14ac:dyDescent="0.45">
      <c r="A84" s="85"/>
      <c r="B84" s="38" t="str">
        <f>B21</f>
        <v>Styropian</v>
      </c>
      <c r="C84" s="59">
        <f>C21</f>
        <v>3.6999999999999998E-2</v>
      </c>
      <c r="D84" s="59">
        <f>D21</f>
        <v>20</v>
      </c>
      <c r="E84" s="59">
        <f>P21</f>
        <v>13.5</v>
      </c>
      <c r="F84" s="59">
        <f>Q21</f>
        <v>1.3</v>
      </c>
      <c r="G84" s="59"/>
      <c r="H84" s="59"/>
      <c r="I84" s="59">
        <f>G21</f>
        <v>120</v>
      </c>
      <c r="J84" s="59"/>
      <c r="K84" s="60">
        <f>D84/100/C84</f>
        <v>5.4054054054054061</v>
      </c>
      <c r="L84" s="61">
        <f>$D$2-((IF($E$2&lt;0,ABS($E$2-$D$2),$D$2-$E$2))/$K87)*($L$20+K86+K85)</f>
        <v>17.327730973837674</v>
      </c>
      <c r="M84" s="62"/>
      <c r="N84" s="34">
        <v>1</v>
      </c>
      <c r="O84" s="34">
        <f>D86</f>
        <v>1</v>
      </c>
      <c r="P84" s="34">
        <f>O84</f>
        <v>1</v>
      </c>
      <c r="Q84" s="46">
        <f>L85</f>
        <v>19.565699774536405</v>
      </c>
      <c r="R84" s="90"/>
    </row>
    <row r="85" spans="1:18" ht="23.4" x14ac:dyDescent="0.45">
      <c r="A85" s="85"/>
      <c r="B85" s="38" t="str">
        <f>B23</f>
        <v>Pustak ceramiczny</v>
      </c>
      <c r="C85" s="59">
        <f>C23</f>
        <v>0.313</v>
      </c>
      <c r="D85" s="59">
        <f>D23</f>
        <v>25</v>
      </c>
      <c r="E85" s="59">
        <f>P23</f>
        <v>800</v>
      </c>
      <c r="F85" s="59">
        <f>Q23</f>
        <v>0.88</v>
      </c>
      <c r="G85" s="59"/>
      <c r="H85" s="59"/>
      <c r="I85" s="59">
        <f>G23</f>
        <v>120.91</v>
      </c>
      <c r="J85" s="59"/>
      <c r="K85" s="60">
        <f>D85/100/C85</f>
        <v>0.79872204472843455</v>
      </c>
      <c r="L85" s="61">
        <f>$D$2-((IF($E$2&lt;0,ABS($E$2-$D$2),$D$2-$E$2))/$K87)*($L$20+K86)</f>
        <v>19.565699774536405</v>
      </c>
      <c r="M85" s="62"/>
      <c r="N85" s="34">
        <v>2</v>
      </c>
      <c r="O85" s="34">
        <f>D86+D85</f>
        <v>26</v>
      </c>
      <c r="P85" s="34">
        <f>O85</f>
        <v>26</v>
      </c>
      <c r="Q85" s="46">
        <f>L84</f>
        <v>17.327730973837674</v>
      </c>
      <c r="R85" s="7"/>
    </row>
    <row r="86" spans="1:18" s="34" customFormat="1" ht="23.4" x14ac:dyDescent="0.45">
      <c r="A86" s="85"/>
      <c r="B86" s="38" t="str">
        <f>B80</f>
        <v>Tynk wewnętrzny</v>
      </c>
      <c r="C86" s="59">
        <f>C80</f>
        <v>0.4</v>
      </c>
      <c r="D86" s="59">
        <f>D80</f>
        <v>1</v>
      </c>
      <c r="E86" s="59"/>
      <c r="F86" s="59"/>
      <c r="G86" s="59"/>
      <c r="H86" s="59"/>
      <c r="I86" s="59"/>
      <c r="J86" s="59"/>
      <c r="K86" s="60">
        <f>D86/100/C86</f>
        <v>2.4999999999999998E-2</v>
      </c>
      <c r="L86" s="61">
        <f>$D$2-((IF($E$2&lt;0,ABS($E$2-$D$2),$D$2-$E$2))/$K87)*$L$20</f>
        <v>19.635748197998275</v>
      </c>
      <c r="M86" s="62"/>
      <c r="N86" s="34">
        <v>3</v>
      </c>
      <c r="O86" s="34">
        <f>D86+D85+D84</f>
        <v>46</v>
      </c>
      <c r="P86" s="34">
        <f>O86</f>
        <v>46</v>
      </c>
      <c r="Q86" s="46">
        <f>L83</f>
        <v>2.182125901000866</v>
      </c>
      <c r="R86" s="36"/>
    </row>
    <row r="87" spans="1:18" ht="60" thickBot="1" x14ac:dyDescent="0.5">
      <c r="A87" s="86"/>
      <c r="B87" s="64"/>
      <c r="C87" s="65"/>
      <c r="D87" s="65"/>
      <c r="E87" s="65"/>
      <c r="F87" s="65"/>
      <c r="G87" s="65"/>
      <c r="H87" s="65" t="s">
        <v>38</v>
      </c>
      <c r="I87" s="66">
        <f>I84+I85</f>
        <v>240.91</v>
      </c>
      <c r="J87" s="67" t="s">
        <v>13</v>
      </c>
      <c r="K87" s="68">
        <f>SUM(K83:K86)+$L$20+$L$21</f>
        <v>6.4241274501338417</v>
      </c>
      <c r="L87" s="69"/>
      <c r="M87" s="70"/>
      <c r="N87" s="34">
        <v>4</v>
      </c>
      <c r="O87" s="34">
        <f>D86+D85+D84+D83</f>
        <v>47</v>
      </c>
      <c r="P87" s="34">
        <f>O87</f>
        <v>47</v>
      </c>
      <c r="Q87" s="46">
        <f>M83</f>
        <v>2.1120774775389961</v>
      </c>
      <c r="R87" s="7"/>
    </row>
    <row r="88" spans="1:18" s="81" customFormat="1" ht="63" customHeight="1" thickBot="1" x14ac:dyDescent="0.5">
      <c r="A88" s="87"/>
      <c r="B88" s="74"/>
      <c r="C88" s="75"/>
      <c r="D88" s="75"/>
      <c r="E88" s="75"/>
      <c r="F88" s="75"/>
      <c r="G88" s="75"/>
      <c r="H88" s="75"/>
      <c r="I88" s="76"/>
      <c r="J88" s="77"/>
      <c r="K88" s="78"/>
      <c r="L88" s="79"/>
      <c r="M88" s="80"/>
      <c r="Q88" s="82"/>
      <c r="R88" s="83"/>
    </row>
    <row r="89" spans="1:18" ht="23.4" x14ac:dyDescent="0.3">
      <c r="A89" s="84" t="s">
        <v>35</v>
      </c>
      <c r="B89" s="53" t="str">
        <f>B83</f>
        <v>Tynk zewnętrzny</v>
      </c>
      <c r="C89" s="54">
        <f t="shared" ref="C89:D89" si="5">C83</f>
        <v>0.4</v>
      </c>
      <c r="D89" s="54">
        <f t="shared" si="5"/>
        <v>1</v>
      </c>
      <c r="E89" s="54"/>
      <c r="F89" s="54"/>
      <c r="G89" s="54"/>
      <c r="H89" s="54"/>
      <c r="I89" s="54"/>
      <c r="J89" s="54"/>
      <c r="K89" s="55">
        <f>D89/100/C89</f>
        <v>2.4999999999999998E-2</v>
      </c>
      <c r="L89" s="56">
        <f>$D$2-((IF($E$2&lt;0,ABS($E$2-$D$2),$D$2-$E$2))/$K93)*($L$20+K92+K91+K90)</f>
        <v>2.1565938193899541</v>
      </c>
      <c r="M89" s="57">
        <f>$D$2-((IF($E$2&lt;0,ABS($E$2-$D$2),$D$2-$E$2))/$K93)*($L$20+K92+K91+K90+K89)</f>
        <v>2.0963654273168935</v>
      </c>
      <c r="N89" s="34">
        <v>0</v>
      </c>
      <c r="O89" s="34">
        <v>0</v>
      </c>
      <c r="P89" s="34">
        <f>O89</f>
        <v>0</v>
      </c>
      <c r="Q89" s="46">
        <f>L92</f>
        <v>19.686812361220095</v>
      </c>
      <c r="R89" s="90">
        <f>IF($E$2&lt;0,ABS($E$2-$D$2),$D$21-$P$21)/$K93</f>
        <v>0.86996566327751512</v>
      </c>
    </row>
    <row r="90" spans="1:18" ht="23.4" x14ac:dyDescent="0.45">
      <c r="A90" s="85"/>
      <c r="B90" s="38" t="str">
        <f>B21</f>
        <v>Styropian</v>
      </c>
      <c r="C90" s="59">
        <f>C21</f>
        <v>3.6999999999999998E-2</v>
      </c>
      <c r="D90" s="59">
        <f>D21</f>
        <v>20</v>
      </c>
      <c r="E90" s="59">
        <f>P21</f>
        <v>13.5</v>
      </c>
      <c r="F90" s="59">
        <f>Q21</f>
        <v>1.3</v>
      </c>
      <c r="G90" s="59"/>
      <c r="H90" s="59"/>
      <c r="I90" s="59">
        <f>G21</f>
        <v>120</v>
      </c>
      <c r="J90" s="59"/>
      <c r="K90" s="60">
        <f>D90/100/C90</f>
        <v>5.4054054054054061</v>
      </c>
      <c r="L90" s="61">
        <f>$D$2-((IF($E$2&lt;0,ABS($E$2-$D$2),$D$2-$E$2))/$K93)*($L$20+K92+K91)</f>
        <v>15.178948862213467</v>
      </c>
      <c r="M90" s="62"/>
      <c r="N90" s="34">
        <v>1</v>
      </c>
      <c r="O90" s="34">
        <f>D92</f>
        <v>1</v>
      </c>
      <c r="P90" s="34">
        <f>O90</f>
        <v>1</v>
      </c>
      <c r="Q90" s="46">
        <f>L91</f>
        <v>19.626583969147035</v>
      </c>
      <c r="R90" s="7"/>
    </row>
    <row r="91" spans="1:18" ht="23.4" x14ac:dyDescent="0.45">
      <c r="A91" s="85"/>
      <c r="B91" s="38" t="str">
        <f>B24</f>
        <v>Beton komórkowy</v>
      </c>
      <c r="C91" s="59">
        <f>C24</f>
        <v>0.13</v>
      </c>
      <c r="D91" s="59">
        <f>D24</f>
        <v>24</v>
      </c>
      <c r="E91" s="59">
        <f>P24</f>
        <v>500</v>
      </c>
      <c r="F91" s="59">
        <f>Q24</f>
        <v>0.84</v>
      </c>
      <c r="G91" s="59"/>
      <c r="H91" s="59"/>
      <c r="I91" s="59">
        <f>G24</f>
        <v>128.31</v>
      </c>
      <c r="J91" s="59"/>
      <c r="K91" s="60">
        <f>D91/100/C91</f>
        <v>1.846153846153846</v>
      </c>
      <c r="L91" s="61">
        <f>$D$2-((IF($E$2&lt;0,ABS($E$2-$D$2),$D$2-$E$2))/$K93)*($L$20+K92)</f>
        <v>19.626583969147035</v>
      </c>
      <c r="M91" s="62"/>
      <c r="N91" s="34">
        <v>2</v>
      </c>
      <c r="O91" s="34">
        <f>D92+D91</f>
        <v>25</v>
      </c>
      <c r="P91" s="34">
        <f>O91</f>
        <v>25</v>
      </c>
      <c r="Q91" s="46">
        <f>L90</f>
        <v>15.178948862213467</v>
      </c>
      <c r="R91" s="7"/>
    </row>
    <row r="92" spans="1:18" s="34" customFormat="1" ht="23.4" x14ac:dyDescent="0.45">
      <c r="A92" s="85"/>
      <c r="B92" s="38" t="str">
        <f>B86</f>
        <v>Tynk wewnętrzny</v>
      </c>
      <c r="C92" s="59">
        <f>C86</f>
        <v>0.4</v>
      </c>
      <c r="D92" s="59">
        <f>D86</f>
        <v>1</v>
      </c>
      <c r="E92" s="59"/>
      <c r="F92" s="59"/>
      <c r="G92" s="59"/>
      <c r="H92" s="59"/>
      <c r="I92" s="59"/>
      <c r="J92" s="59"/>
      <c r="K92" s="60">
        <f>D92/100/C92</f>
        <v>2.4999999999999998E-2</v>
      </c>
      <c r="L92" s="61">
        <f>$D$2-((IF($E$2&lt;0,ABS($E$2-$D$2),$D$2-$E$2))/$K93)*$L$20</f>
        <v>19.686812361220095</v>
      </c>
      <c r="M92" s="62"/>
      <c r="N92" s="34">
        <v>3</v>
      </c>
      <c r="O92" s="34">
        <f>D92+D91+D90</f>
        <v>45</v>
      </c>
      <c r="P92" s="34">
        <f>O92</f>
        <v>45</v>
      </c>
      <c r="Q92" s="46">
        <f>L89</f>
        <v>2.1565938193899541</v>
      </c>
      <c r="R92" s="36"/>
    </row>
    <row r="93" spans="1:18" ht="60" thickBot="1" x14ac:dyDescent="0.5">
      <c r="A93" s="86"/>
      <c r="B93" s="64"/>
      <c r="C93" s="65"/>
      <c r="D93" s="65"/>
      <c r="E93" s="65"/>
      <c r="F93" s="65"/>
      <c r="G93" s="65"/>
      <c r="H93" s="65" t="s">
        <v>38</v>
      </c>
      <c r="I93" s="66">
        <f>I90+I91</f>
        <v>248.31</v>
      </c>
      <c r="J93" s="67" t="s">
        <v>13</v>
      </c>
      <c r="K93" s="68">
        <f>SUM(K89:K92)+$L$20+$L$21</f>
        <v>7.4715592515592526</v>
      </c>
      <c r="L93" s="69"/>
      <c r="M93" s="70"/>
      <c r="N93" s="34">
        <v>4</v>
      </c>
      <c r="O93" s="34">
        <f>D92+D91+D90+D89</f>
        <v>46</v>
      </c>
      <c r="P93" s="34">
        <f>O93</f>
        <v>46</v>
      </c>
      <c r="Q93" s="46">
        <f>M89</f>
        <v>2.0963654273168935</v>
      </c>
      <c r="R93" s="7"/>
    </row>
    <row r="94" spans="1:18" s="81" customFormat="1" ht="63" customHeight="1" thickBot="1" x14ac:dyDescent="0.5">
      <c r="A94" s="87"/>
      <c r="B94" s="74"/>
      <c r="C94" s="75"/>
      <c r="D94" s="75"/>
      <c r="E94" s="75"/>
      <c r="F94" s="75"/>
      <c r="G94" s="75"/>
      <c r="H94" s="75"/>
      <c r="I94" s="76"/>
      <c r="J94" s="77"/>
      <c r="K94" s="78"/>
      <c r="L94" s="79"/>
      <c r="M94" s="80"/>
      <c r="Q94" s="82"/>
      <c r="R94" s="83"/>
    </row>
    <row r="95" spans="1:18" ht="23.4" x14ac:dyDescent="0.3">
      <c r="A95" s="84" t="s">
        <v>36</v>
      </c>
      <c r="B95" s="53" t="str">
        <f>B89</f>
        <v>Tynk zewnętrzny</v>
      </c>
      <c r="C95" s="54">
        <f t="shared" ref="C95:D95" si="6">C89</f>
        <v>0.4</v>
      </c>
      <c r="D95" s="54">
        <f t="shared" si="6"/>
        <v>1</v>
      </c>
      <c r="E95" s="54"/>
      <c r="F95" s="54"/>
      <c r="G95" s="54"/>
      <c r="H95" s="54"/>
      <c r="I95" s="54"/>
      <c r="J95" s="54"/>
      <c r="K95" s="55">
        <f>D95/100/C95</f>
        <v>2.4999999999999998E-2</v>
      </c>
      <c r="L95" s="56">
        <f>$D$2-((IF($E$2&lt;0,ABS($E$2-$D$2),$D$2-$E$2))/$K99)*($L$20+K98+K97+K96)</f>
        <v>2.192693015728679</v>
      </c>
      <c r="M95" s="57">
        <f>$D$2-((IF($E$2&lt;0,ABS($E$2-$D$2),$D$2-$E$2))/$K99)*($L$20+K98+K97+K96+K95)</f>
        <v>2.1185803173714959</v>
      </c>
      <c r="N95" s="34">
        <v>0</v>
      </c>
      <c r="O95" s="34">
        <v>0</v>
      </c>
      <c r="P95" s="34">
        <f>O95</f>
        <v>0</v>
      </c>
      <c r="Q95" s="46">
        <f>L98</f>
        <v>19.614613968542642</v>
      </c>
      <c r="R95" s="90">
        <f>IF($E$2&lt;0,ABS($E$2-$D$2),$D$21-$P$21)/$K99</f>
        <v>1.0705167540482192</v>
      </c>
    </row>
    <row r="96" spans="1:18" ht="23.4" x14ac:dyDescent="0.45">
      <c r="A96" s="85"/>
      <c r="B96" s="38" t="str">
        <f>B21</f>
        <v>Styropian</v>
      </c>
      <c r="C96" s="59">
        <f>C21</f>
        <v>3.6999999999999998E-2</v>
      </c>
      <c r="D96" s="59">
        <f>D21</f>
        <v>20</v>
      </c>
      <c r="E96" s="59">
        <f>P21</f>
        <v>13.5</v>
      </c>
      <c r="F96" s="59">
        <f>Q21</f>
        <v>1.3</v>
      </c>
      <c r="G96" s="59"/>
      <c r="H96" s="59"/>
      <c r="I96" s="59">
        <f>G21</f>
        <v>120</v>
      </c>
      <c r="J96" s="59"/>
      <c r="K96" s="60">
        <f>D96/100/C96</f>
        <v>5.4054054054054061</v>
      </c>
      <c r="L96" s="61">
        <f>$D$2-((IF($E$2&lt;0,ABS($E$2-$D$2),$D$2-$E$2))/$K99)*($L$20+K98+K97)</f>
        <v>18.21706022809288</v>
      </c>
      <c r="M96" s="62"/>
      <c r="N96" s="34">
        <v>1</v>
      </c>
      <c r="O96" s="34">
        <f>D98</f>
        <v>1</v>
      </c>
      <c r="P96" s="34">
        <f>O96</f>
        <v>1</v>
      </c>
      <c r="Q96" s="46">
        <f>L97</f>
        <v>19.540501270185455</v>
      </c>
      <c r="R96" s="7"/>
    </row>
    <row r="97" spans="1:18" ht="23.4" x14ac:dyDescent="0.45">
      <c r="A97" s="85"/>
      <c r="B97" s="38" t="str">
        <f>B25</f>
        <v>Bloczki silikatowe</v>
      </c>
      <c r="C97" s="59">
        <f>C25</f>
        <v>0.56000000000000005</v>
      </c>
      <c r="D97" s="59">
        <f>D25</f>
        <v>25</v>
      </c>
      <c r="E97" s="59">
        <f>P25</f>
        <v>1600</v>
      </c>
      <c r="F97" s="59">
        <f>Q25</f>
        <v>0.88</v>
      </c>
      <c r="G97" s="59"/>
      <c r="H97" s="59"/>
      <c r="I97" s="59">
        <f>G25</f>
        <v>135.72</v>
      </c>
      <c r="J97" s="59"/>
      <c r="K97" s="60">
        <f>D97/100/C97</f>
        <v>0.4464285714285714</v>
      </c>
      <c r="L97" s="61">
        <f>$D$2-((IF($E$2&lt;0,ABS($E$2-$D$2),$D$2-$E$2))/$K99)*($L$20+K98)</f>
        <v>19.540501270185455</v>
      </c>
      <c r="M97" s="62"/>
      <c r="N97" s="34">
        <v>2</v>
      </c>
      <c r="O97" s="34">
        <f>D98+D97</f>
        <v>26</v>
      </c>
      <c r="P97" s="34">
        <f>O97</f>
        <v>26</v>
      </c>
      <c r="Q97" s="46">
        <f>L96</f>
        <v>18.21706022809288</v>
      </c>
      <c r="R97" s="7"/>
    </row>
    <row r="98" spans="1:18" ht="23.4" x14ac:dyDescent="0.45">
      <c r="A98" s="85"/>
      <c r="B98" s="73" t="str">
        <f>B92</f>
        <v>Tynk wewnętrzny</v>
      </c>
      <c r="C98" s="59">
        <f>C92</f>
        <v>0.4</v>
      </c>
      <c r="D98" s="59">
        <f>D92</f>
        <v>1</v>
      </c>
      <c r="E98" s="38"/>
      <c r="F98" s="38"/>
      <c r="G98" s="38"/>
      <c r="H98" s="38"/>
      <c r="I98" s="38"/>
      <c r="J98" s="72"/>
      <c r="K98" s="60">
        <f>D98/100/C98</f>
        <v>2.4999999999999998E-2</v>
      </c>
      <c r="L98" s="61">
        <f>$D$2-((IF($E$2&lt;0,ABS($E$2-$D$2),$D$2-$E$2))/$K99)*$L$20</f>
        <v>19.614613968542642</v>
      </c>
      <c r="M98" s="62"/>
      <c r="N98" s="34">
        <v>3</v>
      </c>
      <c r="O98" s="34">
        <f>D98+D97+D96</f>
        <v>46</v>
      </c>
      <c r="P98" s="34">
        <f>O98</f>
        <v>46</v>
      </c>
      <c r="Q98" s="46">
        <f>L95</f>
        <v>2.192693015728679</v>
      </c>
      <c r="R98" s="7"/>
    </row>
    <row r="99" spans="1:18" ht="60" thickBot="1" x14ac:dyDescent="0.5">
      <c r="A99" s="86"/>
      <c r="B99" s="64"/>
      <c r="C99" s="64"/>
      <c r="D99" s="64"/>
      <c r="E99" s="64"/>
      <c r="F99" s="64"/>
      <c r="G99" s="64"/>
      <c r="H99" s="65" t="s">
        <v>38</v>
      </c>
      <c r="I99" s="66">
        <f>I96+I97</f>
        <v>255.72</v>
      </c>
      <c r="J99" s="67" t="s">
        <v>13</v>
      </c>
      <c r="K99" s="68">
        <f>SUM(K95:K98)+$L$20+$L$21</f>
        <v>6.071833976833978</v>
      </c>
      <c r="L99" s="69"/>
      <c r="M99" s="70"/>
      <c r="N99" s="34">
        <v>4</v>
      </c>
      <c r="O99" s="34">
        <f>D98+D97+D96+D95</f>
        <v>47</v>
      </c>
      <c r="P99" s="34">
        <f>O99</f>
        <v>47</v>
      </c>
      <c r="Q99" s="46">
        <f>M95</f>
        <v>2.1185803173714959</v>
      </c>
      <c r="R99" s="7"/>
    </row>
    <row r="100" spans="1:18" x14ac:dyDescent="0.3">
      <c r="K100" t="s">
        <v>41</v>
      </c>
      <c r="R100" s="7"/>
    </row>
    <row r="101" spans="1:18" ht="28.8" x14ac:dyDescent="0.3">
      <c r="A101" s="96" t="s">
        <v>46</v>
      </c>
      <c r="B101" s="96"/>
      <c r="C101" s="96" t="s">
        <v>56</v>
      </c>
      <c r="D101" s="98" t="s">
        <v>59</v>
      </c>
      <c r="E101" s="98" t="s">
        <v>57</v>
      </c>
      <c r="F101" s="99" t="s">
        <v>77</v>
      </c>
      <c r="R101" s="7"/>
    </row>
    <row r="102" spans="1:18" x14ac:dyDescent="0.3">
      <c r="A102" t="s">
        <v>47</v>
      </c>
      <c r="B102" t="str">
        <f>_xlfn.TEXTJOIN("",TRUE,B48," gr. ",D48,", ",B49)</f>
        <v>Styropian gr. 12, Pustak ceramiczny</v>
      </c>
      <c r="C102" s="93">
        <f>I51*$A$2</f>
        <v>33566.339999999997</v>
      </c>
      <c r="D102" s="46">
        <f>R47</f>
        <v>1.5251180056169416</v>
      </c>
      <c r="E102" s="37">
        <f>K51</f>
        <v>4.2619652879716785</v>
      </c>
      <c r="F102" s="46">
        <f>1/E102</f>
        <v>0.23463353932568332</v>
      </c>
      <c r="G102" t="str">
        <f>IF(F102&gt;0.2,"Nie spełnia WT 2021","")</f>
        <v>Nie spełnia WT 2021</v>
      </c>
      <c r="R102" s="7"/>
    </row>
    <row r="103" spans="1:18" x14ac:dyDescent="0.3">
      <c r="A103" s="34" t="s">
        <v>48</v>
      </c>
      <c r="B103" s="34" t="str">
        <f>_xlfn.TEXTJOIN("",TRUE,B54," gr. ",D54,", ",B55)</f>
        <v>Styropian gr. 12, Beton komórkowy</v>
      </c>
      <c r="C103" s="93">
        <f>I57*$A$2</f>
        <v>34853.94</v>
      </c>
      <c r="D103" s="46">
        <f>R53</f>
        <v>1.2242444651541613</v>
      </c>
      <c r="E103" s="37">
        <f>K57</f>
        <v>5.3093970893970894</v>
      </c>
      <c r="F103" s="46">
        <f t="shared" ref="F103:F110" si="7">1/E103</f>
        <v>0.18834530233140942</v>
      </c>
      <c r="G103" s="34" t="str">
        <f t="shared" ref="G103:G110" si="8">IF(F103&gt;0.2,"Nie spełnia WT 2021","")</f>
        <v/>
      </c>
      <c r="R103" s="7"/>
    </row>
    <row r="104" spans="1:18" x14ac:dyDescent="0.3">
      <c r="A104" s="34" t="s">
        <v>49</v>
      </c>
      <c r="B104" s="34" t="str">
        <f>_xlfn.TEXTJOIN("",TRUE,B60," gr. ",D60,", ",B61)</f>
        <v>Styropian gr. 12, Bloczki silikatowe</v>
      </c>
      <c r="C104" s="93">
        <f>I63*$A$2</f>
        <v>36143.279999999999</v>
      </c>
      <c r="D104" s="46">
        <f>R59</f>
        <v>1.6625436374499436</v>
      </c>
      <c r="E104" s="37">
        <f>K63</f>
        <v>3.9096718146718143</v>
      </c>
      <c r="F104" s="46">
        <f t="shared" si="7"/>
        <v>0.25577594422306826</v>
      </c>
      <c r="G104" s="34" t="str">
        <f t="shared" si="8"/>
        <v>Nie spełnia WT 2021</v>
      </c>
      <c r="R104" s="7"/>
    </row>
    <row r="105" spans="1:18" x14ac:dyDescent="0.3">
      <c r="A105" s="34" t="s">
        <v>50</v>
      </c>
      <c r="B105" s="34" t="str">
        <f>_xlfn.TEXTJOIN("",TRUE,B66," gr. ",D66,", ",B67)</f>
        <v>Styropian gr. 15, Pustak ceramiczny</v>
      </c>
      <c r="C105" s="93">
        <f>I69*$A$2</f>
        <v>36698.339999999997</v>
      </c>
      <c r="D105" s="46">
        <f>R65</f>
        <v>1.2813496739113039</v>
      </c>
      <c r="E105" s="37">
        <f>K69</f>
        <v>5.0727760987824899</v>
      </c>
      <c r="F105" s="46">
        <f t="shared" si="7"/>
        <v>0.19713071906327753</v>
      </c>
      <c r="G105" s="34" t="str">
        <f t="shared" si="8"/>
        <v/>
      </c>
      <c r="R105" s="7"/>
    </row>
    <row r="106" spans="1:18" x14ac:dyDescent="0.3">
      <c r="A106" s="34" t="s">
        <v>51</v>
      </c>
      <c r="B106" s="34" t="str">
        <f>_xlfn.TEXTJOIN("",TRUE,B72," gr. ",D72,", ",B73)</f>
        <v>Styropian gr. 15, Beton komórkowy</v>
      </c>
      <c r="C106" s="93">
        <f>I75*$A$2</f>
        <v>37985.94</v>
      </c>
      <c r="D106" s="46">
        <f>R71</f>
        <v>1.0620554245843834</v>
      </c>
      <c r="E106" s="37">
        <f>K75</f>
        <v>6.1202079002079008</v>
      </c>
      <c r="F106" s="46">
        <f t="shared" si="7"/>
        <v>0.16339314224375129</v>
      </c>
      <c r="G106" s="34" t="str">
        <f t="shared" si="8"/>
        <v/>
      </c>
      <c r="R106" s="7"/>
    </row>
    <row r="107" spans="1:18" x14ac:dyDescent="0.3">
      <c r="A107" s="34" t="s">
        <v>52</v>
      </c>
      <c r="B107" s="34" t="str">
        <f>_xlfn.TEXTJOIN("",TRUE,B78," gr. ",D78,", ",B79)</f>
        <v>Styropian gr. 15, Bloczki silikatowe</v>
      </c>
      <c r="C107" s="93">
        <f>I81*$A$2</f>
        <v>39275.279999999999</v>
      </c>
      <c r="D107" s="46">
        <f>R77</f>
        <v>1.3769778464835329</v>
      </c>
      <c r="E107" s="37">
        <f>K81</f>
        <v>4.7204826254826262</v>
      </c>
      <c r="F107" s="46">
        <f t="shared" si="7"/>
        <v>0.21184274561285121</v>
      </c>
      <c r="G107" s="34" t="str">
        <f t="shared" si="8"/>
        <v>Nie spełnia WT 2021</v>
      </c>
      <c r="R107" s="7"/>
    </row>
    <row r="108" spans="1:18" x14ac:dyDescent="0.3">
      <c r="A108" s="34" t="s">
        <v>53</v>
      </c>
      <c r="B108" s="34" t="str">
        <f>_xlfn.TEXTJOIN("",TRUE,B84," gr. ",D84,", ",B85)</f>
        <v>Styropian gr. 20, Pustak ceramiczny</v>
      </c>
      <c r="C108" s="93">
        <f>I87*$A$2</f>
        <v>41918.339999999997</v>
      </c>
      <c r="D108" s="46">
        <f>R83</f>
        <v>1.0118105611159034</v>
      </c>
      <c r="E108" s="37">
        <f>K87</f>
        <v>6.4241274501338417</v>
      </c>
      <c r="F108" s="46">
        <f t="shared" si="7"/>
        <v>0.15566316324860052</v>
      </c>
      <c r="G108" s="34" t="str">
        <f t="shared" si="8"/>
        <v/>
      </c>
      <c r="R108" s="7"/>
    </row>
    <row r="109" spans="1:18" x14ac:dyDescent="0.3">
      <c r="A109" s="34" t="s">
        <v>54</v>
      </c>
      <c r="B109" s="34" t="str">
        <f>_xlfn.TEXTJOIN("",TRUE,B90," gr. ",D90,", ",B91)</f>
        <v>Styropian gr. 20, Beton komórkowy</v>
      </c>
      <c r="C109" s="93">
        <f>I93*$A$2</f>
        <v>43205.94</v>
      </c>
      <c r="D109" s="46">
        <f>R89</f>
        <v>0.86996566327751512</v>
      </c>
      <c r="E109" s="37">
        <f>K93</f>
        <v>7.4715592515592526</v>
      </c>
      <c r="F109" s="46">
        <f t="shared" si="7"/>
        <v>0.13384087127346386</v>
      </c>
      <c r="G109" s="34" t="str">
        <f t="shared" si="8"/>
        <v/>
      </c>
      <c r="R109" s="7"/>
    </row>
    <row r="110" spans="1:18" ht="15" customHeight="1" x14ac:dyDescent="0.3">
      <c r="A110" s="34" t="s">
        <v>55</v>
      </c>
      <c r="B110" s="34" t="str">
        <f>_xlfn.TEXTJOIN("",TRUE,B96," gr. ",D96,", ",B97)</f>
        <v>Styropian gr. 20, Bloczki silikatowe</v>
      </c>
      <c r="C110" s="93">
        <f>I99*$A$2</f>
        <v>44495.28</v>
      </c>
      <c r="D110" s="46">
        <f>R95</f>
        <v>1.0705167540482192</v>
      </c>
      <c r="E110" s="37">
        <f>K99</f>
        <v>6.071833976833978</v>
      </c>
      <c r="F110" s="46">
        <f t="shared" si="7"/>
        <v>0.16469488523818757</v>
      </c>
      <c r="G110" s="34" t="str">
        <f t="shared" si="8"/>
        <v/>
      </c>
      <c r="R110" s="7"/>
    </row>
    <row r="111" spans="1:18" x14ac:dyDescent="0.3">
      <c r="R111" s="7"/>
    </row>
    <row r="112" spans="1:18" x14ac:dyDescent="0.3">
      <c r="R112" s="7"/>
    </row>
    <row r="113" spans="18:18" x14ac:dyDescent="0.3">
      <c r="R113" s="7"/>
    </row>
    <row r="114" spans="18:18" x14ac:dyDescent="0.3">
      <c r="R114" s="7"/>
    </row>
    <row r="116" spans="18:18" s="34" customFormat="1" x14ac:dyDescent="0.3"/>
    <row r="117" spans="18:18" s="34" customFormat="1" x14ac:dyDescent="0.3"/>
    <row r="118" spans="18:18" s="34" customFormat="1" x14ac:dyDescent="0.3"/>
    <row r="119" spans="18:18" s="34" customFormat="1" x14ac:dyDescent="0.3"/>
    <row r="120" spans="18:18" s="34" customFormat="1" x14ac:dyDescent="0.3"/>
    <row r="121" spans="18:18" s="34" customFormat="1" x14ac:dyDescent="0.3"/>
    <row r="122" spans="18:18" s="34" customFormat="1" x14ac:dyDescent="0.3"/>
    <row r="123" spans="18:18" s="34" customFormat="1" x14ac:dyDescent="0.3"/>
    <row r="124" spans="18:18" s="34" customFormat="1" x14ac:dyDescent="0.3"/>
    <row r="125" spans="18:18" s="34" customFormat="1" x14ac:dyDescent="0.3"/>
    <row r="126" spans="18:18" s="34" customFormat="1" x14ac:dyDescent="0.3"/>
    <row r="127" spans="18:18" s="34" customFormat="1" x14ac:dyDescent="0.3"/>
    <row r="128" spans="18:18" s="34" customFormat="1" x14ac:dyDescent="0.3"/>
    <row r="129" spans="1:22" s="34" customFormat="1" x14ac:dyDescent="0.3"/>
    <row r="130" spans="1:22" s="34" customFormat="1" x14ac:dyDescent="0.3"/>
    <row r="131" spans="1:22" s="34" customFormat="1" ht="15" customHeight="1" x14ac:dyDescent="0.3"/>
    <row r="132" spans="1:22" s="34" customFormat="1" x14ac:dyDescent="0.3"/>
    <row r="133" spans="1:22" s="34" customFormat="1" ht="58.2" thickBot="1" x14ac:dyDescent="0.35">
      <c r="A133" s="96" t="s">
        <v>60</v>
      </c>
      <c r="G133" s="96" t="s">
        <v>81</v>
      </c>
      <c r="H133" s="99"/>
      <c r="I133" s="99"/>
      <c r="Q133" s="98" t="s">
        <v>95</v>
      </c>
      <c r="R133" s="98" t="s">
        <v>95</v>
      </c>
      <c r="S133" s="98" t="s">
        <v>127</v>
      </c>
      <c r="T133" s="98" t="s">
        <v>128</v>
      </c>
      <c r="U133" s="98" t="s">
        <v>110</v>
      </c>
      <c r="V133" s="98" t="s">
        <v>111</v>
      </c>
    </row>
    <row r="134" spans="1:22" s="34" customFormat="1" ht="29.4" thickBot="1" x14ac:dyDescent="0.35">
      <c r="B134" s="34" t="s">
        <v>158</v>
      </c>
      <c r="C134" s="50" t="s">
        <v>159</v>
      </c>
      <c r="D134" s="34" t="s">
        <v>71</v>
      </c>
      <c r="E134" s="34" t="s">
        <v>68</v>
      </c>
      <c r="F134" s="34" t="s">
        <v>69</v>
      </c>
      <c r="G134" s="97" t="s">
        <v>47</v>
      </c>
      <c r="H134" s="97" t="s">
        <v>48</v>
      </c>
      <c r="I134" s="97" t="s">
        <v>49</v>
      </c>
      <c r="J134" s="97" t="s">
        <v>50</v>
      </c>
      <c r="K134" s="97" t="s">
        <v>51</v>
      </c>
      <c r="L134" s="97" t="s">
        <v>52</v>
      </c>
      <c r="M134" s="97" t="s">
        <v>53</v>
      </c>
      <c r="N134" s="97" t="s">
        <v>54</v>
      </c>
      <c r="O134" s="97" t="s">
        <v>55</v>
      </c>
      <c r="P134" s="137" t="s">
        <v>82</v>
      </c>
      <c r="Q134" s="138">
        <f>'Analizy opłacalności'!B2</f>
        <v>0.9</v>
      </c>
      <c r="R134" s="138">
        <f>'Analizy opłacalności'!B34</f>
        <v>0.8</v>
      </c>
      <c r="S134" s="138">
        <f>'Analizy opłacalności'!B10</f>
        <v>0.16</v>
      </c>
      <c r="T134" s="138">
        <f>'Analizy opłacalności'!C42</f>
        <v>0.2</v>
      </c>
      <c r="U134" s="138">
        <f>'Analizy opłacalności'!B5</f>
        <v>0.1865081704513176</v>
      </c>
      <c r="V134" s="175">
        <f>'Analizy opłacalności'!L12</f>
        <v>0.16322012673010991</v>
      </c>
    </row>
    <row r="135" spans="1:22" s="34" customFormat="1" x14ac:dyDescent="0.3">
      <c r="A135" s="34" t="s">
        <v>64</v>
      </c>
      <c r="B135" s="104">
        <v>11</v>
      </c>
      <c r="C135" s="104">
        <v>6</v>
      </c>
      <c r="D135" s="104">
        <v>31</v>
      </c>
      <c r="E135" s="104">
        <v>12</v>
      </c>
      <c r="F135" s="104">
        <v>12</v>
      </c>
      <c r="G135" s="46">
        <f t="shared" ref="G135:G141" si="9">(VLOOKUP($B135,$A$248:$J$287,2,FALSE)*$E135+VLOOKUP($C135,$A$248:$J$287,2,FALSE)*$F135)*$A$2/1000*$D135</f>
        <v>349.30927386987514</v>
      </c>
      <c r="H135" s="46">
        <f t="shared" ref="H135:H141" si="10">(VLOOKUP($B135,$A$248:$J$287,3,FALSE)*$E135+VLOOKUP($C135,$A$248:$J$287,3,FALSE)*$F135)*$A$2/1000*$D135</f>
        <v>280.39793877407175</v>
      </c>
      <c r="I135" s="46">
        <f t="shared" ref="I135:I141" si="11">(VLOOKUP($B135,$A$248:$J$287,4,FALSE)*$E135+VLOOKUP($C135,$A$248:$J$287,4,FALSE)*$F135)*$A$2/1000*$D135</f>
        <v>380.78490230642745</v>
      </c>
      <c r="J135" s="46">
        <f t="shared" ref="J135:J141" si="12">(VLOOKUP($B135,$A$248:$J$287,5,FALSE)*$E135+VLOOKUP($C135,$A$248:$J$287,5,FALSE)*$F135)*$A$2/1000*$D135</f>
        <v>293.47717522114004</v>
      </c>
      <c r="K135" s="46">
        <f t="shared" ref="K135:K141" si="13">(VLOOKUP($B135,$A$248:$J$287,6,FALSE)*$E135+VLOOKUP($C135,$A$248:$J$287,6,FALSE)*$F135)*$A$2/1000*$D135</f>
        <v>243.25056015653126</v>
      </c>
      <c r="L135" s="46">
        <f t="shared" ref="L135:L141" si="14">(VLOOKUP($B135,$A$248:$J$287,7,FALSE)*$E135+VLOOKUP($C135,$A$248:$J$287,7,FALSE)*$F135)*$A$2/1000*$D135</f>
        <v>315.37961647465858</v>
      </c>
      <c r="M135" s="46">
        <f t="shared" ref="M135:M141" si="15">(VLOOKUP($B135,$A$248:$J$287,8,FALSE)*$E135+VLOOKUP($C135,$A$248:$J$287,8,FALSE)*$F135)*$A$2/1000*$D135</f>
        <v>231.74260030737452</v>
      </c>
      <c r="N135" s="46">
        <f t="shared" ref="N135:N141" si="16">(VLOOKUP($B135,$A$248:$J$287,9,FALSE)*$E135+VLOOKUP($C135,$A$248:$J$287,9,FALSE)*$F135)*$A$2/1000*$D135</f>
        <v>199.2547940631417</v>
      </c>
      <c r="O135" s="46">
        <f t="shared" ref="O135:O141" si="17">(VLOOKUP($B135,$A$248:$J$287,10,FALSE)*$E135+VLOOKUP($C135,$A$248:$J$287,10,FALSE)*$F135)*$A$2/1000*$D135</f>
        <v>245.18852222904036</v>
      </c>
      <c r="Q135" s="46">
        <f>(IF($B135&lt;0,ABS($B135-$D$2),$D$2-$B135)*$E135+IF($C135&lt;0,ABS($C135-$D$2),$D$2-$C135)*$F135)*$D135*Q$134*'Podstawowe dane'!$A$8/1000</f>
        <v>308.01600000000002</v>
      </c>
      <c r="R135" s="46">
        <f>(IF($B135&lt;0,ABS($B135-$D$2),$D$2-$B135)*$E135+IF($C135&lt;0,ABS($C135-$D$2),$D$2-$C135)*$F135)*$D135*R$134*'Podstawowe dane'!$A$8/1000</f>
        <v>273.79199999999997</v>
      </c>
      <c r="S135" s="46">
        <f>(IF($B135&lt;0,ABS($B135-$D$2),$D$2-$B135)*$E135+IF($C135&lt;0,ABS($C135-$D$2),$D$2-$C135)*$F135)*$D135*S$134*'Podstawowe dane'!$A$11/1000</f>
        <v>273.79199999999997</v>
      </c>
      <c r="T135" s="34">
        <f>(IF($B135&lt;0,ABS($B135-$D$2),$D$2-$B135)*$E135+IF($C135&lt;0,ABS($C135-$D$2),$D$2-$C135)*$F135)*$D135*T$134*'Podstawowe dane'!$A$11/1000</f>
        <v>342.24</v>
      </c>
      <c r="U135" s="46">
        <f>($D$2-'Analizy opłacalności'!$G$2)*$D135*24*$U$134*'Podstawowe dane'!$A$11/1000</f>
        <v>222.01932610524844</v>
      </c>
      <c r="V135" s="46">
        <f>($D$2-'Analizy opłacalności'!$G$2)*$D135*24*$V$134*'Podstawowe dane'!$A$11/1000</f>
        <v>194.29723885952282</v>
      </c>
    </row>
    <row r="136" spans="1:22" s="34" customFormat="1" x14ac:dyDescent="0.3">
      <c r="A136" s="34" t="s">
        <v>65</v>
      </c>
      <c r="B136" s="104">
        <v>5</v>
      </c>
      <c r="C136" s="104">
        <v>1</v>
      </c>
      <c r="D136" s="104">
        <v>30</v>
      </c>
      <c r="E136" s="104">
        <v>12</v>
      </c>
      <c r="F136" s="104">
        <v>12</v>
      </c>
      <c r="G136" s="46">
        <f t="shared" si="9"/>
        <v>499.71312671426733</v>
      </c>
      <c r="H136" s="46">
        <f t="shared" si="10"/>
        <v>401.13029109334246</v>
      </c>
      <c r="I136" s="46">
        <f t="shared" si="11"/>
        <v>544.74137496852177</v>
      </c>
      <c r="J136" s="46">
        <f t="shared" si="12"/>
        <v>419.84112023220592</v>
      </c>
      <c r="K136" s="46">
        <f t="shared" si="13"/>
        <v>347.98817862505177</v>
      </c>
      <c r="L136" s="46">
        <f t="shared" si="14"/>
        <v>451.17420589642597</v>
      </c>
      <c r="M136" s="46">
        <f t="shared" si="15"/>
        <v>331.5251785603395</v>
      </c>
      <c r="N136" s="46">
        <f t="shared" si="16"/>
        <v>285.04893400337238</v>
      </c>
      <c r="O136" s="46">
        <f t="shared" si="17"/>
        <v>350.7605787848824</v>
      </c>
      <c r="Q136" s="46">
        <f>(IF($B136&lt;0,ABS($B136-$D$2),$D$2-$B136)*$E136+IF($C136&lt;0,ABS($C136-$D$2),$D$2-$C136)*$F136)*$D136*Q$134*'Podstawowe dane'!$A$8/1000</f>
        <v>440.64</v>
      </c>
      <c r="R136" s="46">
        <f>(IF($B136&lt;0,ABS($B136-$D$2),$D$2-$B136)*$E136+IF($C136&lt;0,ABS($C136-$D$2),$D$2-$C136)*$F136)*$D136*R$134*'Podstawowe dane'!$A$8/1000</f>
        <v>391.68</v>
      </c>
      <c r="S136" s="46">
        <f>(IF($B136&lt;0,ABS($B136-$D$2),$D$2-$B136)*$E136+IF($C136&lt;0,ABS($C136-$D$2),$D$2-$C136)*$F136)*$D136*S$134*'Podstawowe dane'!$A$11/1000</f>
        <v>391.68</v>
      </c>
      <c r="T136" s="34">
        <f>(IF($B136&lt;0,ABS($B136-$D$2),$D$2-$B136)*$E136+IF($C136&lt;0,ABS($C136-$D$2),$D$2-$C136)*$F136)*$D136*T$134*'Podstawowe dane'!$A$11/1000</f>
        <v>489.6</v>
      </c>
      <c r="U136" s="46">
        <f>($D$2-'Analizy opłacalności'!$G$2)*$D136*24*$U$134*'Podstawowe dane'!$A$11/1000</f>
        <v>214.85741235991784</v>
      </c>
      <c r="V136" s="46">
        <f>($D$2-'Analizy opłacalności'!$G$2)*$D136*24*$V$134*'Podstawowe dane'!$A$11/1000</f>
        <v>188.02958599308661</v>
      </c>
    </row>
    <row r="137" spans="1:22" s="34" customFormat="1" x14ac:dyDescent="0.3">
      <c r="A137" s="34" t="s">
        <v>66</v>
      </c>
      <c r="B137" s="104">
        <v>1</v>
      </c>
      <c r="C137" s="104">
        <v>-3</v>
      </c>
      <c r="D137" s="104">
        <v>31</v>
      </c>
      <c r="E137" s="104">
        <v>12</v>
      </c>
      <c r="F137" s="104">
        <v>12</v>
      </c>
      <c r="G137" s="46">
        <f t="shared" si="9"/>
        <v>637.8691088058589</v>
      </c>
      <c r="H137" s="46">
        <f t="shared" si="10"/>
        <v>512.03101863091365</v>
      </c>
      <c r="I137" s="46">
        <f t="shared" si="11"/>
        <v>695.34634334217219</v>
      </c>
      <c r="J137" s="46">
        <f t="shared" si="12"/>
        <v>535.91484170816875</v>
      </c>
      <c r="K137" s="46">
        <f t="shared" si="13"/>
        <v>444.19667506844843</v>
      </c>
      <c r="L137" s="46">
        <f t="shared" si="14"/>
        <v>575.91060399720266</v>
      </c>
      <c r="M137" s="46">
        <f t="shared" si="15"/>
        <v>423.1821396917274</v>
      </c>
      <c r="N137" s="46">
        <f t="shared" si="16"/>
        <v>363.85658046312835</v>
      </c>
      <c r="O137" s="46">
        <f t="shared" si="17"/>
        <v>447.73556233129096</v>
      </c>
      <c r="Q137" s="46">
        <f>(IF($B137&lt;0,ABS($B137-$D$2),$D$2-$B137)*$E137+IF($C137&lt;0,ABS($C137-$D$2),$D$2-$C137)*$F137)*$D137*Q$134*'Podstawowe dane'!$A$8/1000</f>
        <v>562.46400000000006</v>
      </c>
      <c r="R137" s="46">
        <f>(IF($B137&lt;0,ABS($B137-$D$2),$D$2-$B137)*$E137+IF($C137&lt;0,ABS($C137-$D$2),$D$2-$C137)*$F137)*$D137*R$134*'Podstawowe dane'!$A$8/1000</f>
        <v>499.96800000000002</v>
      </c>
      <c r="S137" s="46">
        <f>(IF($B137&lt;0,ABS($B137-$D$2),$D$2-$B137)*$E137+IF($C137&lt;0,ABS($C137-$D$2),$D$2-$C137)*$F137)*$D137*S$134*'Podstawowe dane'!$A$11/1000</f>
        <v>499.96800000000002</v>
      </c>
      <c r="T137" s="34">
        <f>(IF($B137&lt;0,ABS($B137-$D$2),$D$2-$B137)*$E137+IF($C137&lt;0,ABS($C137-$D$2),$D$2-$C137)*$F137)*$D137*T$134*'Podstawowe dane'!$A$11/1000</f>
        <v>624.96</v>
      </c>
      <c r="U137" s="46">
        <f>($D$2-'Analizy opłacalności'!$G$2)*$D137*24*$U$134*'Podstawowe dane'!$A$11/1000</f>
        <v>222.01932610524844</v>
      </c>
      <c r="V137" s="46">
        <f>($D$2-'Analizy opłacalności'!$G$2)*$D137*24*$V$134*'Podstawowe dane'!$A$11/1000</f>
        <v>194.29723885952282</v>
      </c>
    </row>
    <row r="138" spans="1:22" s="34" customFormat="1" x14ac:dyDescent="0.3">
      <c r="A138" s="34" t="s">
        <v>61</v>
      </c>
      <c r="B138" s="104">
        <v>-4</v>
      </c>
      <c r="C138" s="104">
        <v>-7</v>
      </c>
      <c r="D138" s="104">
        <v>31</v>
      </c>
      <c r="E138" s="104">
        <v>12</v>
      </c>
      <c r="F138" s="104">
        <v>12</v>
      </c>
      <c r="G138" s="46">
        <f t="shared" si="9"/>
        <v>774.55534640711448</v>
      </c>
      <c r="H138" s="46">
        <f t="shared" si="10"/>
        <v>621.75195119468094</v>
      </c>
      <c r="I138" s="46">
        <f t="shared" si="11"/>
        <v>844.34913120120905</v>
      </c>
      <c r="J138" s="46">
        <f t="shared" si="12"/>
        <v>650.75373635991923</v>
      </c>
      <c r="K138" s="46">
        <f t="shared" si="13"/>
        <v>539.38167686883025</v>
      </c>
      <c r="L138" s="46">
        <f t="shared" si="14"/>
        <v>699.32001913946033</v>
      </c>
      <c r="M138" s="46">
        <f t="shared" si="15"/>
        <v>513.86402676852617</v>
      </c>
      <c r="N138" s="46">
        <f t="shared" si="16"/>
        <v>441.82584770522732</v>
      </c>
      <c r="O138" s="46">
        <f t="shared" si="17"/>
        <v>543.67889711656755</v>
      </c>
      <c r="Q138" s="46">
        <f>(IF($B138&lt;0,ABS($B138-$D$2),$D$2-$B138)*$E138+IF($C138&lt;0,ABS($C138-$D$2),$D$2-$C138)*$F138)*$D138*Q$134*'Podstawowe dane'!$A$8/1000</f>
        <v>682.99199999999996</v>
      </c>
      <c r="R138" s="46">
        <f>(IF($B138&lt;0,ABS($B138-$D$2),$D$2-$B138)*$E138+IF($C138&lt;0,ABS($C138-$D$2),$D$2-$C138)*$F138)*$D138*R$134*'Podstawowe dane'!$A$8/1000</f>
        <v>607.10400000000004</v>
      </c>
      <c r="S138" s="46">
        <f>(IF($B138&lt;0,ABS($B138-$D$2),$D$2-$B138)*$E138+IF($C138&lt;0,ABS($C138-$D$2),$D$2-$C138)*$F138)*$D138*S$134*'Podstawowe dane'!$A$11/1000</f>
        <v>607.10400000000004</v>
      </c>
      <c r="T138" s="34">
        <f>(IF($B138&lt;0,ABS($B138-$D$2),$D$2-$B138)*$E138+IF($C138&lt;0,ABS($C138-$D$2),$D$2-$C138)*$F138)*$D138*T$134*'Podstawowe dane'!$A$11/1000</f>
        <v>758.88</v>
      </c>
      <c r="U138" s="46">
        <f>($D$2-'Analizy opłacalności'!$G$2)*$D138*24*$U$134*'Podstawowe dane'!$A$11/1000</f>
        <v>222.01932610524844</v>
      </c>
      <c r="V138" s="46">
        <f>($D$2-'Analizy opłacalności'!$G$2)*$D138*24*$V$134*'Podstawowe dane'!$A$11/1000</f>
        <v>194.29723885952282</v>
      </c>
    </row>
    <row r="139" spans="1:22" s="34" customFormat="1" x14ac:dyDescent="0.3">
      <c r="A139" s="34" t="s">
        <v>62</v>
      </c>
      <c r="B139" s="104">
        <v>0</v>
      </c>
      <c r="C139" s="104">
        <v>-5</v>
      </c>
      <c r="D139" s="104">
        <v>28</v>
      </c>
      <c r="E139" s="104">
        <v>12</v>
      </c>
      <c r="F139" s="104">
        <v>12</v>
      </c>
      <c r="G139" s="46">
        <f t="shared" si="9"/>
        <v>617.29268594115365</v>
      </c>
      <c r="H139" s="46">
        <f t="shared" si="10"/>
        <v>495.51388899765846</v>
      </c>
      <c r="I139" s="46">
        <f t="shared" si="11"/>
        <v>672.91581613758581</v>
      </c>
      <c r="J139" s="46">
        <f t="shared" si="12"/>
        <v>518.62726616919554</v>
      </c>
      <c r="K139" s="46">
        <f t="shared" si="13"/>
        <v>429.86775006624043</v>
      </c>
      <c r="L139" s="46">
        <f t="shared" si="14"/>
        <v>557.3328425779381</v>
      </c>
      <c r="M139" s="46">
        <f t="shared" si="15"/>
        <v>409.53110292747812</v>
      </c>
      <c r="N139" s="46">
        <f t="shared" si="16"/>
        <v>352.11927141593065</v>
      </c>
      <c r="O139" s="46">
        <f t="shared" si="17"/>
        <v>433.29247967544285</v>
      </c>
      <c r="Q139" s="46">
        <f>(IF($B139&lt;0,ABS($B139-$D$2),$D$2-$B139)*$E139+IF($C139&lt;0,ABS($C139-$D$2),$D$2-$C139)*$F139)*$D139*Q$134*'Podstawowe dane'!$A$8/1000</f>
        <v>544.32000000000005</v>
      </c>
      <c r="R139" s="46">
        <f>(IF($B139&lt;0,ABS($B139-$D$2),$D$2-$B139)*$E139+IF($C139&lt;0,ABS($C139-$D$2),$D$2-$C139)*$F139)*$D139*R$134*'Podstawowe dane'!$A$8/1000</f>
        <v>483.84</v>
      </c>
      <c r="S139" s="46">
        <f>(IF($B139&lt;0,ABS($B139-$D$2),$D$2-$B139)*$E139+IF($C139&lt;0,ABS($C139-$D$2),$D$2-$C139)*$F139)*$D139*S$134*'Podstawowe dane'!$A$11/1000</f>
        <v>483.84000000000003</v>
      </c>
      <c r="T139" s="34">
        <f>(IF($B139&lt;0,ABS($B139-$D$2),$D$2-$B139)*$E139+IF($C139&lt;0,ABS($C139-$D$2),$D$2-$C139)*$F139)*$D139*T$134*'Podstawowe dane'!$A$11/1000</f>
        <v>604.79999999999995</v>
      </c>
      <c r="U139" s="46">
        <f>($D$2-'Analizy opłacalności'!$G$2)*$D139*24*$U$134*'Podstawowe dane'!$A$11/1000</f>
        <v>200.53358486925669</v>
      </c>
      <c r="V139" s="46">
        <f>($D$2-'Analizy opłacalności'!$G$2)*$D139*24*$V$134*'Podstawowe dane'!$A$11/1000</f>
        <v>175.49428026021417</v>
      </c>
    </row>
    <row r="140" spans="1:22" s="34" customFormat="1" x14ac:dyDescent="0.3">
      <c r="A140" s="34" t="s">
        <v>63</v>
      </c>
      <c r="B140" s="104">
        <v>4</v>
      </c>
      <c r="C140" s="104">
        <v>0</v>
      </c>
      <c r="D140" s="104">
        <v>31</v>
      </c>
      <c r="E140" s="104">
        <v>12</v>
      </c>
      <c r="F140" s="104">
        <v>12</v>
      </c>
      <c r="G140" s="46">
        <f t="shared" si="9"/>
        <v>546.74495040502188</v>
      </c>
      <c r="H140" s="46">
        <f t="shared" si="10"/>
        <v>438.88373025506883</v>
      </c>
      <c r="I140" s="46">
        <f t="shared" si="11"/>
        <v>596.01115143614743</v>
      </c>
      <c r="J140" s="46">
        <f t="shared" si="12"/>
        <v>459.35557860700186</v>
      </c>
      <c r="K140" s="46">
        <f t="shared" si="13"/>
        <v>380.74000720152725</v>
      </c>
      <c r="L140" s="46">
        <f t="shared" si="14"/>
        <v>493.6376605690308</v>
      </c>
      <c r="M140" s="46">
        <f t="shared" si="15"/>
        <v>362.72754830719492</v>
      </c>
      <c r="N140" s="46">
        <f t="shared" si="16"/>
        <v>311.87706896839563</v>
      </c>
      <c r="O140" s="46">
        <f t="shared" si="17"/>
        <v>383.77333914110659</v>
      </c>
      <c r="Q140" s="46">
        <f>(IF($B140&lt;0,ABS($B140-$D$2),$D$2-$B140)*$E140+IF($C140&lt;0,ABS($C140-$D$2),$D$2-$C140)*$F140)*$D140*Q$134*'Podstawowe dane'!$A$8/1000</f>
        <v>482.11200000000008</v>
      </c>
      <c r="R140" s="46">
        <f>(IF($B140&lt;0,ABS($B140-$D$2),$D$2-$B140)*$E140+IF($C140&lt;0,ABS($C140-$D$2),$D$2-$C140)*$F140)*$D140*R$134*'Podstawowe dane'!$A$8/1000</f>
        <v>428.54399999999998</v>
      </c>
      <c r="S140" s="46">
        <f>(IF($B140&lt;0,ABS($B140-$D$2),$D$2-$B140)*$E140+IF($C140&lt;0,ABS($C140-$D$2),$D$2-$C140)*$F140)*$D140*S$134*'Podstawowe dane'!$A$11/1000</f>
        <v>428.54400000000004</v>
      </c>
      <c r="T140" s="34">
        <f>(IF($B140&lt;0,ABS($B140-$D$2),$D$2-$B140)*$E140+IF($C140&lt;0,ABS($C140-$D$2),$D$2-$C140)*$F140)*$D140*T$134*'Podstawowe dane'!$A$11/1000</f>
        <v>535.67999999999995</v>
      </c>
      <c r="U140" s="46">
        <f>($D$2-'Analizy opłacalności'!$G$2)*$D140*24*$U$134*'Podstawowe dane'!$A$11/1000</f>
        <v>222.01932610524844</v>
      </c>
      <c r="V140" s="46">
        <f>($D$2-'Analizy opłacalności'!$G$2)*$D140*24*$V$134*'Podstawowe dane'!$A$11/1000</f>
        <v>194.29723885952282</v>
      </c>
    </row>
    <row r="141" spans="1:22" s="34" customFormat="1" x14ac:dyDescent="0.3">
      <c r="A141" s="34" t="s">
        <v>67</v>
      </c>
      <c r="B141" s="104">
        <v>11</v>
      </c>
      <c r="C141" s="104">
        <v>5</v>
      </c>
      <c r="D141" s="104">
        <v>30</v>
      </c>
      <c r="E141" s="104">
        <v>12</v>
      </c>
      <c r="F141" s="104">
        <v>12</v>
      </c>
      <c r="G141" s="46">
        <f t="shared" si="9"/>
        <v>352.73867768065929</v>
      </c>
      <c r="H141" s="46">
        <f t="shared" si="10"/>
        <v>283.15079371294769</v>
      </c>
      <c r="I141" s="46">
        <f t="shared" si="11"/>
        <v>384.52332350719189</v>
      </c>
      <c r="J141" s="46">
        <f t="shared" si="12"/>
        <v>296.35843781096889</v>
      </c>
      <c r="K141" s="46">
        <f t="shared" si="13"/>
        <v>245.63871432356595</v>
      </c>
      <c r="L141" s="46">
        <f t="shared" si="14"/>
        <v>318.47591004453596</v>
      </c>
      <c r="M141" s="46">
        <f t="shared" si="15"/>
        <v>234.01777310141608</v>
      </c>
      <c r="N141" s="46">
        <f t="shared" si="16"/>
        <v>201.21101223767465</v>
      </c>
      <c r="O141" s="46">
        <f t="shared" si="17"/>
        <v>247.59570267168164</v>
      </c>
      <c r="Q141" s="46">
        <f>(IF($B141&lt;0,ABS($B141-$D$2),$D$2-$B141)*$E141+IF($C141&lt;0,ABS($C141-$D$2),$D$2-$C141)*$F141)*$D141*Q$134*'Podstawowe dane'!$A$8/1000</f>
        <v>311.04000000000002</v>
      </c>
      <c r="R141" s="46">
        <f>(IF($B141&lt;0,ABS($B141-$D$2),$D$2-$B141)*$E141+IF($C141&lt;0,ABS($C141-$D$2),$D$2-$C141)*$F141)*$D141*R$134*'Podstawowe dane'!$A$8/1000</f>
        <v>276.48</v>
      </c>
      <c r="S141" s="46">
        <f>(IF($B141&lt;0,ABS($B141-$D$2),$D$2-$B141)*$E141+IF($C141&lt;0,ABS($C141-$D$2),$D$2-$C141)*$F141)*$D141*S$134*'Podstawowe dane'!$A$11/1000</f>
        <v>276.48</v>
      </c>
      <c r="T141" s="34">
        <f>(IF($B141&lt;0,ABS($B141-$D$2),$D$2-$B141)*$E141+IF($C141&lt;0,ABS($C141-$D$2),$D$2-$C141)*$F141)*$D141*T$134*'Podstawowe dane'!$A$11/1000</f>
        <v>345.6</v>
      </c>
      <c r="U141" s="46">
        <f>($D$2-'Analizy opłacalności'!$G$2)*$D141*24*$U$134*'Podstawowe dane'!$A$11/1000</f>
        <v>214.85741235991784</v>
      </c>
      <c r="V141" s="46">
        <f>($D$2-'Analizy opłacalności'!$G$2)*$D141*24*$V$134*'Podstawowe dane'!$A$11/1000</f>
        <v>188.02958599308661</v>
      </c>
    </row>
    <row r="142" spans="1:22" s="34" customFormat="1" ht="28.8" x14ac:dyDescent="0.3">
      <c r="F142" s="98" t="s">
        <v>70</v>
      </c>
      <c r="G142" s="46">
        <f>SUM(G135:G141)</f>
        <v>3778.2231698239507</v>
      </c>
      <c r="H142" s="46">
        <f t="shared" ref="H142:O142" si="18">SUM(H135:H141)</f>
        <v>3032.8596126586835</v>
      </c>
      <c r="I142" s="46">
        <f t="shared" si="18"/>
        <v>4118.6720428992558</v>
      </c>
      <c r="J142" s="46">
        <f t="shared" si="18"/>
        <v>3174.3281561086005</v>
      </c>
      <c r="K142" s="46">
        <f t="shared" si="18"/>
        <v>2631.0635623101953</v>
      </c>
      <c r="L142" s="46">
        <f t="shared" si="18"/>
        <v>3411.2308586992522</v>
      </c>
      <c r="M142" s="46">
        <f t="shared" si="18"/>
        <v>2506.5903696640567</v>
      </c>
      <c r="N142" s="46">
        <f t="shared" si="18"/>
        <v>2155.1935088568707</v>
      </c>
      <c r="O142" s="46">
        <f t="shared" si="18"/>
        <v>2652.025081950012</v>
      </c>
      <c r="Q142" s="46">
        <f>SUM(Q135:Q141)</f>
        <v>3331.5839999999998</v>
      </c>
      <c r="R142" s="46">
        <f>SUM(R135:R141)</f>
        <v>2961.4079999999999</v>
      </c>
      <c r="S142" s="46">
        <f t="shared" ref="S142:T142" si="19">SUM(S135:S141)</f>
        <v>2961.4079999999999</v>
      </c>
      <c r="T142" s="46">
        <f t="shared" si="19"/>
        <v>3701.76</v>
      </c>
      <c r="U142" s="46">
        <f t="shared" ref="U142" si="20">SUM(U135:U141)</f>
        <v>1518.3257140100861</v>
      </c>
      <c r="V142" s="46">
        <f>SUM(V135:V141)</f>
        <v>1328.7424076844786</v>
      </c>
    </row>
    <row r="143" spans="1:22" s="34" customFormat="1" x14ac:dyDescent="0.3">
      <c r="F143" s="34" t="s">
        <v>73</v>
      </c>
      <c r="G143" s="93">
        <f t="shared" ref="G143:O143" si="21">G142*$E$4</f>
        <v>1511.2892679295803</v>
      </c>
      <c r="H143" s="93">
        <f t="shared" si="21"/>
        <v>1213.1438450634735</v>
      </c>
      <c r="I143" s="93">
        <f t="shared" si="21"/>
        <v>1647.4688171597024</v>
      </c>
      <c r="J143" s="93">
        <f t="shared" si="21"/>
        <v>1269.7312624434403</v>
      </c>
      <c r="K143" s="93">
        <f t="shared" si="21"/>
        <v>1052.4254249240782</v>
      </c>
      <c r="L143" s="93">
        <f t="shared" si="21"/>
        <v>1364.492343479701</v>
      </c>
      <c r="M143" s="93">
        <f t="shared" si="21"/>
        <v>1002.6361478656227</v>
      </c>
      <c r="N143" s="93">
        <f t="shared" si="21"/>
        <v>862.07740354274836</v>
      </c>
      <c r="O143" s="93">
        <f t="shared" si="21"/>
        <v>1060.8100327800048</v>
      </c>
      <c r="Q143" s="93">
        <f t="shared" ref="Q143:V143" si="22">Q142*$E$4</f>
        <v>1332.6336000000001</v>
      </c>
      <c r="R143" s="93">
        <f t="shared" si="22"/>
        <v>1184.5632000000001</v>
      </c>
      <c r="S143" s="93">
        <f t="shared" si="22"/>
        <v>1184.5632000000001</v>
      </c>
      <c r="T143" s="93">
        <f t="shared" si="22"/>
        <v>1480.7040000000002</v>
      </c>
      <c r="U143" s="93">
        <f t="shared" si="22"/>
        <v>607.33028560403443</v>
      </c>
      <c r="V143" s="93">
        <f t="shared" si="22"/>
        <v>531.49696307379145</v>
      </c>
    </row>
    <row r="144" spans="1:22" s="34" customFormat="1" x14ac:dyDescent="0.3">
      <c r="F144" s="34" t="s">
        <v>37</v>
      </c>
      <c r="G144" s="93">
        <f>$I51*$A$2</f>
        <v>33566.339999999997</v>
      </c>
      <c r="H144" s="93">
        <f>$I57*$A$2</f>
        <v>34853.94</v>
      </c>
      <c r="I144" s="93">
        <f>$I63*$A$2</f>
        <v>36143.279999999999</v>
      </c>
      <c r="J144" s="93">
        <f>$I69*$A$2</f>
        <v>36698.339999999997</v>
      </c>
      <c r="K144" s="93">
        <f>$I75*$A$2</f>
        <v>37985.94</v>
      </c>
      <c r="L144" s="93">
        <f>$I81*$A$2</f>
        <v>39275.279999999999</v>
      </c>
      <c r="M144" s="93">
        <f>$I87*$A$2</f>
        <v>41918.339999999997</v>
      </c>
      <c r="N144" s="93">
        <f>$I93*$A$2</f>
        <v>43205.94</v>
      </c>
      <c r="O144" s="93">
        <f>$I99*$A$2</f>
        <v>44495.28</v>
      </c>
    </row>
    <row r="145" spans="5:15" s="34" customFormat="1" x14ac:dyDescent="0.3">
      <c r="F145" s="96" t="s">
        <v>74</v>
      </c>
    </row>
    <row r="146" spans="5:15" s="34" customFormat="1" x14ac:dyDescent="0.3">
      <c r="E146" s="194" t="s">
        <v>76</v>
      </c>
      <c r="F146" s="34">
        <v>30</v>
      </c>
      <c r="G146" s="93">
        <f>$F$146*G143+G144</f>
        <v>78905.018037887407</v>
      </c>
      <c r="H146" s="93">
        <f t="shared" ref="H146:O146" si="23">$F$146*H143+H144</f>
        <v>71248.255351904198</v>
      </c>
      <c r="I146" s="93">
        <f t="shared" si="23"/>
        <v>85567.344514791068</v>
      </c>
      <c r="J146" s="93">
        <f t="shared" si="23"/>
        <v>74790.277873303203</v>
      </c>
      <c r="K146" s="93">
        <f t="shared" si="23"/>
        <v>69558.702747722346</v>
      </c>
      <c r="L146" s="93">
        <f t="shared" si="23"/>
        <v>80210.050304391028</v>
      </c>
      <c r="M146" s="93">
        <f t="shared" si="23"/>
        <v>71997.424435968685</v>
      </c>
      <c r="N146" s="93">
        <f t="shared" si="23"/>
        <v>69068.262106282462</v>
      </c>
      <c r="O146" s="93">
        <f t="shared" si="23"/>
        <v>76319.580983400141</v>
      </c>
    </row>
    <row r="147" spans="5:15" s="34" customFormat="1" x14ac:dyDescent="0.3">
      <c r="E147" s="194"/>
      <c r="F147" s="34">
        <v>50</v>
      </c>
      <c r="G147" s="93">
        <f>$F$147*G143+G144</f>
        <v>109130.80339647901</v>
      </c>
      <c r="H147" s="93">
        <f t="shared" ref="H147:O147" si="24">$F$147*H143+H144</f>
        <v>95511.132253173681</v>
      </c>
      <c r="I147" s="93">
        <f t="shared" si="24"/>
        <v>118516.72085798511</v>
      </c>
      <c r="J147" s="93">
        <f t="shared" si="24"/>
        <v>100184.90312217202</v>
      </c>
      <c r="K147" s="93">
        <f t="shared" si="24"/>
        <v>90607.211246203922</v>
      </c>
      <c r="L147" s="93">
        <f t="shared" si="24"/>
        <v>107499.89717398505</v>
      </c>
      <c r="M147" s="93">
        <f t="shared" si="24"/>
        <v>92050.147393281135</v>
      </c>
      <c r="N147" s="93">
        <f t="shared" si="24"/>
        <v>86309.81017713742</v>
      </c>
      <c r="O147" s="93">
        <f t="shared" si="24"/>
        <v>97535.781639000241</v>
      </c>
    </row>
    <row r="148" spans="5:15" s="34" customFormat="1" x14ac:dyDescent="0.3"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5:15" s="34" customFormat="1" x14ac:dyDescent="0.3"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5:15" s="34" customFormat="1" x14ac:dyDescent="0.3"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5:15" s="34" customFormat="1" x14ac:dyDescent="0.3"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5:15" s="34" customFormat="1" x14ac:dyDescent="0.3"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5:15" s="34" customFormat="1" x14ac:dyDescent="0.3"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5:15" s="34" customFormat="1" x14ac:dyDescent="0.3"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5:15" s="34" customFormat="1" x14ac:dyDescent="0.3"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5:15" s="34" customFormat="1" x14ac:dyDescent="0.3"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5:15" s="34" customFormat="1" x14ac:dyDescent="0.3"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5:15" s="34" customFormat="1" x14ac:dyDescent="0.3"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5:15" s="34" customFormat="1" x14ac:dyDescent="0.3"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5:15" s="34" customFormat="1" x14ac:dyDescent="0.3"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7:15" s="34" customFormat="1" x14ac:dyDescent="0.3"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7:15" s="34" customFormat="1" x14ac:dyDescent="0.3"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7:15" s="34" customFormat="1" x14ac:dyDescent="0.3"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7:15" s="34" customFormat="1" x14ac:dyDescent="0.3"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7:15" s="34" customFormat="1" x14ac:dyDescent="0.3"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7:15" s="34" customFormat="1" x14ac:dyDescent="0.3"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7:15" s="34" customFormat="1" x14ac:dyDescent="0.3"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7:15" s="34" customFormat="1" x14ac:dyDescent="0.3"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7:15" s="34" customFormat="1" x14ac:dyDescent="0.3"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7:15" s="34" customFormat="1" x14ac:dyDescent="0.3"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7:15" s="34" customFormat="1" x14ac:dyDescent="0.3"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7:15" s="34" customFormat="1" x14ac:dyDescent="0.3"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7:15" s="34" customFormat="1" x14ac:dyDescent="0.3"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7:15" s="34" customFormat="1" x14ac:dyDescent="0.3"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7:15" s="34" customFormat="1" x14ac:dyDescent="0.3"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7:15" s="34" customFormat="1" x14ac:dyDescent="0.3"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1:15" s="34" customFormat="1" x14ac:dyDescent="0.3"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1:15" s="34" customFormat="1" x14ac:dyDescent="0.3">
      <c r="A178" s="34" t="s">
        <v>75</v>
      </c>
      <c r="B178" s="100" t="s">
        <v>47</v>
      </c>
      <c r="C178" s="100" t="s">
        <v>48</v>
      </c>
      <c r="D178" s="100" t="s">
        <v>49</v>
      </c>
      <c r="E178" s="100" t="s">
        <v>50</v>
      </c>
      <c r="F178" s="100" t="s">
        <v>51</v>
      </c>
      <c r="G178" s="100" t="s">
        <v>52</v>
      </c>
      <c r="H178" s="100" t="s">
        <v>53</v>
      </c>
      <c r="I178" s="100" t="s">
        <v>54</v>
      </c>
      <c r="J178" s="100" t="s">
        <v>55</v>
      </c>
      <c r="K178" s="93"/>
      <c r="L178" s="93"/>
      <c r="M178" s="93"/>
      <c r="N178" s="93"/>
      <c r="O178" s="93"/>
    </row>
    <row r="179" spans="1:15" s="34" customFormat="1" x14ac:dyDescent="0.3">
      <c r="A179" s="101"/>
      <c r="B179" s="102">
        <f t="shared" ref="B179:J179" si="25">G144</f>
        <v>33566.339999999997</v>
      </c>
      <c r="C179" s="102">
        <f t="shared" si="25"/>
        <v>34853.94</v>
      </c>
      <c r="D179" s="102">
        <f t="shared" si="25"/>
        <v>36143.279999999999</v>
      </c>
      <c r="E179" s="102">
        <f t="shared" si="25"/>
        <v>36698.339999999997</v>
      </c>
      <c r="F179" s="102">
        <f t="shared" si="25"/>
        <v>37985.94</v>
      </c>
      <c r="G179" s="102">
        <f t="shared" si="25"/>
        <v>39275.279999999999</v>
      </c>
      <c r="H179" s="102">
        <f t="shared" si="25"/>
        <v>41918.339999999997</v>
      </c>
      <c r="I179" s="102">
        <f t="shared" si="25"/>
        <v>43205.94</v>
      </c>
      <c r="J179" s="102">
        <f t="shared" si="25"/>
        <v>44495.28</v>
      </c>
      <c r="K179" s="93"/>
      <c r="L179" s="93"/>
      <c r="M179" s="93"/>
      <c r="N179" s="93"/>
      <c r="O179" s="93"/>
    </row>
    <row r="180" spans="1:15" s="34" customFormat="1" x14ac:dyDescent="0.3">
      <c r="A180" s="101">
        <v>1</v>
      </c>
      <c r="B180" s="102">
        <f t="shared" ref="B180:B211" si="26">B$179+G$143*$A180</f>
        <v>35077.62926792958</v>
      </c>
      <c r="C180" s="102">
        <f t="shared" ref="C180:C211" si="27">C$179+H$143*$A180</f>
        <v>36067.083845063476</v>
      </c>
      <c r="D180" s="102">
        <f t="shared" ref="D180:D211" si="28">D$179+I$143*$A180</f>
        <v>37790.7488171597</v>
      </c>
      <c r="E180" s="102">
        <f t="shared" ref="E180:E211" si="29">E$179+J$143*$A180</f>
        <v>37968.071262443438</v>
      </c>
      <c r="F180" s="102">
        <f t="shared" ref="F180:F211" si="30">F$179+K$143*$A180</f>
        <v>39038.365424924079</v>
      </c>
      <c r="G180" s="102">
        <f t="shared" ref="G180:G211" si="31">G$179+L$143*$A180</f>
        <v>40639.772343479701</v>
      </c>
      <c r="H180" s="102">
        <f t="shared" ref="H180:H211" si="32">H$179+M$143*$A180</f>
        <v>42920.976147865622</v>
      </c>
      <c r="I180" s="102">
        <f t="shared" ref="I180:I211" si="33">I$179+N$143*$A180</f>
        <v>44068.017403542748</v>
      </c>
      <c r="J180" s="102">
        <f t="shared" ref="J180:J211" si="34">J$179+O$143*$A180</f>
        <v>45556.090032780005</v>
      </c>
      <c r="K180" s="93"/>
      <c r="L180" s="93"/>
      <c r="M180" s="93"/>
      <c r="N180" s="93"/>
      <c r="O180" s="93"/>
    </row>
    <row r="181" spans="1:15" s="34" customFormat="1" x14ac:dyDescent="0.3">
      <c r="A181" s="101">
        <v>2</v>
      </c>
      <c r="B181" s="102">
        <f t="shared" si="26"/>
        <v>36588.918535859157</v>
      </c>
      <c r="C181" s="102">
        <f t="shared" si="27"/>
        <v>37280.227690126951</v>
      </c>
      <c r="D181" s="102">
        <f t="shared" si="28"/>
        <v>39438.217634319401</v>
      </c>
      <c r="E181" s="102">
        <f t="shared" si="29"/>
        <v>39237.80252488688</v>
      </c>
      <c r="F181" s="102">
        <f t="shared" si="30"/>
        <v>40090.790849848156</v>
      </c>
      <c r="G181" s="102">
        <f t="shared" si="31"/>
        <v>42004.264686959403</v>
      </c>
      <c r="H181" s="102">
        <f t="shared" si="32"/>
        <v>43923.61229573124</v>
      </c>
      <c r="I181" s="102">
        <f t="shared" si="33"/>
        <v>44930.094807085501</v>
      </c>
      <c r="J181" s="102">
        <f t="shared" si="34"/>
        <v>46616.90006556001</v>
      </c>
      <c r="K181" s="93"/>
      <c r="L181" s="93"/>
      <c r="M181" s="93"/>
      <c r="N181" s="93"/>
      <c r="O181" s="93"/>
    </row>
    <row r="182" spans="1:15" s="34" customFormat="1" x14ac:dyDescent="0.3">
      <c r="A182" s="101">
        <v>3</v>
      </c>
      <c r="B182" s="102">
        <f t="shared" si="26"/>
        <v>38100.20780378874</v>
      </c>
      <c r="C182" s="102">
        <f t="shared" si="27"/>
        <v>38493.371535190425</v>
      </c>
      <c r="D182" s="102">
        <f t="shared" si="28"/>
        <v>41085.686451479109</v>
      </c>
      <c r="E182" s="102">
        <f t="shared" si="29"/>
        <v>40507.533787330314</v>
      </c>
      <c r="F182" s="102">
        <f t="shared" si="30"/>
        <v>41143.21627477224</v>
      </c>
      <c r="G182" s="102">
        <f t="shared" si="31"/>
        <v>43368.757030439105</v>
      </c>
      <c r="H182" s="102">
        <f t="shared" si="32"/>
        <v>44926.248443596865</v>
      </c>
      <c r="I182" s="102">
        <f t="shared" si="33"/>
        <v>45792.172210628247</v>
      </c>
      <c r="J182" s="102">
        <f t="shared" si="34"/>
        <v>47677.710098340016</v>
      </c>
      <c r="K182" s="93"/>
      <c r="L182" s="93"/>
      <c r="M182" s="93"/>
      <c r="N182" s="93"/>
      <c r="O182" s="93"/>
    </row>
    <row r="183" spans="1:15" s="34" customFormat="1" x14ac:dyDescent="0.3">
      <c r="A183" s="101">
        <v>4</v>
      </c>
      <c r="B183" s="102">
        <f t="shared" si="26"/>
        <v>39611.497071718317</v>
      </c>
      <c r="C183" s="102">
        <f t="shared" si="27"/>
        <v>39706.515380253899</v>
      </c>
      <c r="D183" s="102">
        <f t="shared" si="28"/>
        <v>42733.15526863881</v>
      </c>
      <c r="E183" s="102">
        <f t="shared" si="29"/>
        <v>41777.265049773756</v>
      </c>
      <c r="F183" s="102">
        <f t="shared" si="30"/>
        <v>42195.641699696316</v>
      </c>
      <c r="G183" s="102">
        <f t="shared" si="31"/>
        <v>44733.249373918807</v>
      </c>
      <c r="H183" s="102">
        <f t="shared" si="32"/>
        <v>45928.884591462484</v>
      </c>
      <c r="I183" s="102">
        <f t="shared" si="33"/>
        <v>46654.249614170993</v>
      </c>
      <c r="J183" s="102">
        <f t="shared" si="34"/>
        <v>48738.520131120022</v>
      </c>
      <c r="K183" s="93"/>
      <c r="L183" s="93"/>
      <c r="M183" s="93"/>
      <c r="N183" s="93"/>
      <c r="O183" s="93"/>
    </row>
    <row r="184" spans="1:15" s="34" customFormat="1" x14ac:dyDescent="0.3">
      <c r="A184" s="101">
        <v>5</v>
      </c>
      <c r="B184" s="102">
        <f t="shared" si="26"/>
        <v>41122.786339647901</v>
      </c>
      <c r="C184" s="102">
        <f t="shared" si="27"/>
        <v>40919.659225317373</v>
      </c>
      <c r="D184" s="102">
        <f t="shared" si="28"/>
        <v>44380.62408579851</v>
      </c>
      <c r="E184" s="102">
        <f t="shared" si="29"/>
        <v>43046.996312217198</v>
      </c>
      <c r="F184" s="102">
        <f t="shared" si="30"/>
        <v>43248.067124620393</v>
      </c>
      <c r="G184" s="102">
        <f t="shared" si="31"/>
        <v>46097.741717398501</v>
      </c>
      <c r="H184" s="102">
        <f t="shared" si="32"/>
        <v>46931.520739328109</v>
      </c>
      <c r="I184" s="102">
        <f t="shared" si="33"/>
        <v>47516.327017713746</v>
      </c>
      <c r="J184" s="102">
        <f t="shared" si="34"/>
        <v>49799.33016390002</v>
      </c>
      <c r="K184" s="93"/>
      <c r="L184" s="93"/>
      <c r="M184" s="93"/>
      <c r="N184" s="93"/>
      <c r="O184" s="93"/>
    </row>
    <row r="185" spans="1:15" s="34" customFormat="1" x14ac:dyDescent="0.3">
      <c r="A185" s="101">
        <v>6</v>
      </c>
      <c r="B185" s="102">
        <f t="shared" si="26"/>
        <v>42634.075607577477</v>
      </c>
      <c r="C185" s="102">
        <f t="shared" si="27"/>
        <v>42132.803070380847</v>
      </c>
      <c r="D185" s="102">
        <f t="shared" si="28"/>
        <v>46028.092902958211</v>
      </c>
      <c r="E185" s="102">
        <f t="shared" si="29"/>
        <v>44316.727574660639</v>
      </c>
      <c r="F185" s="102">
        <f t="shared" si="30"/>
        <v>44300.49254954447</v>
      </c>
      <c r="G185" s="102">
        <f t="shared" si="31"/>
        <v>47462.234060878203</v>
      </c>
      <c r="H185" s="102">
        <f t="shared" si="32"/>
        <v>47934.156887193734</v>
      </c>
      <c r="I185" s="102">
        <f t="shared" si="33"/>
        <v>48378.404421256491</v>
      </c>
      <c r="J185" s="102">
        <f t="shared" si="34"/>
        <v>50860.140196680026</v>
      </c>
      <c r="K185" s="93"/>
      <c r="L185" s="93"/>
      <c r="M185" s="93"/>
      <c r="N185" s="93"/>
      <c r="O185" s="93"/>
    </row>
    <row r="186" spans="1:15" s="34" customFormat="1" x14ac:dyDescent="0.3">
      <c r="A186" s="101">
        <v>7</v>
      </c>
      <c r="B186" s="102">
        <f t="shared" si="26"/>
        <v>44145.364875507061</v>
      </c>
      <c r="C186" s="102">
        <f t="shared" si="27"/>
        <v>43345.946915444314</v>
      </c>
      <c r="D186" s="102">
        <f t="shared" si="28"/>
        <v>47675.561720117912</v>
      </c>
      <c r="E186" s="102">
        <f t="shared" si="29"/>
        <v>45586.458837104081</v>
      </c>
      <c r="F186" s="102">
        <f t="shared" si="30"/>
        <v>45352.917974468553</v>
      </c>
      <c r="G186" s="102">
        <f t="shared" si="31"/>
        <v>48826.726404357905</v>
      </c>
      <c r="H186" s="102">
        <f t="shared" si="32"/>
        <v>48936.793035059352</v>
      </c>
      <c r="I186" s="102">
        <f t="shared" si="33"/>
        <v>49240.481824799237</v>
      </c>
      <c r="J186" s="102">
        <f t="shared" si="34"/>
        <v>51920.950229460032</v>
      </c>
      <c r="K186" s="93"/>
      <c r="L186" s="93"/>
      <c r="M186" s="93"/>
      <c r="N186" s="93"/>
      <c r="O186" s="93"/>
    </row>
    <row r="187" spans="1:15" s="34" customFormat="1" x14ac:dyDescent="0.3">
      <c r="A187" s="101">
        <v>8</v>
      </c>
      <c r="B187" s="102">
        <f t="shared" si="26"/>
        <v>45656.654143436637</v>
      </c>
      <c r="C187" s="102">
        <f t="shared" si="27"/>
        <v>44559.090760507788</v>
      </c>
      <c r="D187" s="102">
        <f t="shared" si="28"/>
        <v>49323.03053727762</v>
      </c>
      <c r="E187" s="102">
        <f t="shared" si="29"/>
        <v>46856.190099547515</v>
      </c>
      <c r="F187" s="102">
        <f t="shared" si="30"/>
        <v>46405.34339939263</v>
      </c>
      <c r="G187" s="102">
        <f t="shared" si="31"/>
        <v>50191.218747837607</v>
      </c>
      <c r="H187" s="102">
        <f t="shared" si="32"/>
        <v>49939.429182924978</v>
      </c>
      <c r="I187" s="102">
        <f t="shared" si="33"/>
        <v>50102.55922834199</v>
      </c>
      <c r="J187" s="102">
        <f t="shared" si="34"/>
        <v>52981.760262240037</v>
      </c>
      <c r="K187" s="93"/>
      <c r="L187" s="93"/>
      <c r="M187" s="93"/>
      <c r="N187" s="93"/>
      <c r="O187" s="93"/>
    </row>
    <row r="188" spans="1:15" s="34" customFormat="1" x14ac:dyDescent="0.3">
      <c r="A188" s="101">
        <v>9</v>
      </c>
      <c r="B188" s="102">
        <f t="shared" si="26"/>
        <v>47167.943411366221</v>
      </c>
      <c r="C188" s="102">
        <f t="shared" si="27"/>
        <v>45772.234605571262</v>
      </c>
      <c r="D188" s="102">
        <f t="shared" si="28"/>
        <v>50970.499354437321</v>
      </c>
      <c r="E188" s="102">
        <f t="shared" si="29"/>
        <v>48125.921361990957</v>
      </c>
      <c r="F188" s="102">
        <f t="shared" si="30"/>
        <v>47457.768824316707</v>
      </c>
      <c r="G188" s="102">
        <f t="shared" si="31"/>
        <v>51555.711091317309</v>
      </c>
      <c r="H188" s="102">
        <f t="shared" si="32"/>
        <v>50942.065330790603</v>
      </c>
      <c r="I188" s="102">
        <f t="shared" si="33"/>
        <v>50964.636631884736</v>
      </c>
      <c r="J188" s="102">
        <f t="shared" si="34"/>
        <v>54042.570295020043</v>
      </c>
      <c r="K188" s="93"/>
      <c r="L188" s="93"/>
      <c r="M188" s="93"/>
      <c r="N188" s="93"/>
      <c r="O188" s="93"/>
    </row>
    <row r="189" spans="1:15" s="34" customFormat="1" x14ac:dyDescent="0.3">
      <c r="A189" s="101">
        <v>10</v>
      </c>
      <c r="B189" s="102">
        <f t="shared" si="26"/>
        <v>48679.232679295797</v>
      </c>
      <c r="C189" s="102">
        <f t="shared" si="27"/>
        <v>46985.378450634737</v>
      </c>
      <c r="D189" s="102">
        <f t="shared" si="28"/>
        <v>52617.968171597022</v>
      </c>
      <c r="E189" s="102">
        <f t="shared" si="29"/>
        <v>49395.652624434399</v>
      </c>
      <c r="F189" s="102">
        <f t="shared" si="30"/>
        <v>48510.194249240783</v>
      </c>
      <c r="G189" s="102">
        <f t="shared" si="31"/>
        <v>52920.203434797011</v>
      </c>
      <c r="H189" s="102">
        <f t="shared" si="32"/>
        <v>51944.701478656221</v>
      </c>
      <c r="I189" s="102">
        <f t="shared" si="33"/>
        <v>51826.714035427489</v>
      </c>
      <c r="J189" s="102">
        <f t="shared" si="34"/>
        <v>55103.380327800049</v>
      </c>
      <c r="K189" s="93"/>
      <c r="L189" s="93"/>
      <c r="M189" s="93"/>
      <c r="N189" s="93"/>
      <c r="O189" s="93"/>
    </row>
    <row r="190" spans="1:15" s="34" customFormat="1" x14ac:dyDescent="0.3">
      <c r="A190" s="101">
        <v>11</v>
      </c>
      <c r="B190" s="102">
        <f t="shared" si="26"/>
        <v>50190.521947225381</v>
      </c>
      <c r="C190" s="102">
        <f t="shared" si="27"/>
        <v>48198.522295698211</v>
      </c>
      <c r="D190" s="102">
        <f t="shared" si="28"/>
        <v>54265.43698875673</v>
      </c>
      <c r="E190" s="102">
        <f t="shared" si="29"/>
        <v>50665.38388687784</v>
      </c>
      <c r="F190" s="102">
        <f t="shared" si="30"/>
        <v>49562.61967416486</v>
      </c>
      <c r="G190" s="102">
        <f t="shared" si="31"/>
        <v>54284.695778276713</v>
      </c>
      <c r="H190" s="102">
        <f t="shared" si="32"/>
        <v>52947.337626521847</v>
      </c>
      <c r="I190" s="102">
        <f t="shared" si="33"/>
        <v>52688.791438970235</v>
      </c>
      <c r="J190" s="102">
        <f t="shared" si="34"/>
        <v>56164.190360580047</v>
      </c>
      <c r="K190" s="93"/>
      <c r="L190" s="93"/>
      <c r="M190" s="93"/>
      <c r="N190" s="93"/>
      <c r="O190" s="93"/>
    </row>
    <row r="191" spans="1:15" s="34" customFormat="1" x14ac:dyDescent="0.3">
      <c r="A191" s="101">
        <v>12</v>
      </c>
      <c r="B191" s="102">
        <f t="shared" si="26"/>
        <v>51701.811215154958</v>
      </c>
      <c r="C191" s="102">
        <f t="shared" si="27"/>
        <v>49411.666140761685</v>
      </c>
      <c r="D191" s="102">
        <f t="shared" si="28"/>
        <v>55912.905805916424</v>
      </c>
      <c r="E191" s="102">
        <f t="shared" si="29"/>
        <v>51935.115149321282</v>
      </c>
      <c r="F191" s="102">
        <f t="shared" si="30"/>
        <v>50615.045099088937</v>
      </c>
      <c r="G191" s="102">
        <f t="shared" si="31"/>
        <v>55649.188121756408</v>
      </c>
      <c r="H191" s="102">
        <f t="shared" si="32"/>
        <v>53949.973774387472</v>
      </c>
      <c r="I191" s="102">
        <f t="shared" si="33"/>
        <v>53550.86884251298</v>
      </c>
      <c r="J191" s="102">
        <f t="shared" si="34"/>
        <v>57225.000393360053</v>
      </c>
      <c r="K191" s="93"/>
      <c r="L191" s="93"/>
      <c r="M191" s="93"/>
      <c r="N191" s="93"/>
      <c r="O191" s="93"/>
    </row>
    <row r="192" spans="1:15" s="34" customFormat="1" x14ac:dyDescent="0.3">
      <c r="A192" s="101">
        <v>13</v>
      </c>
      <c r="B192" s="102">
        <f t="shared" si="26"/>
        <v>53213.100483084541</v>
      </c>
      <c r="C192" s="102">
        <f t="shared" si="27"/>
        <v>50624.809985825159</v>
      </c>
      <c r="D192" s="102">
        <f t="shared" si="28"/>
        <v>57560.374623076132</v>
      </c>
      <c r="E192" s="102">
        <f t="shared" si="29"/>
        <v>53204.846411764724</v>
      </c>
      <c r="F192" s="102">
        <f t="shared" si="30"/>
        <v>51667.470524013021</v>
      </c>
      <c r="G192" s="102">
        <f t="shared" si="31"/>
        <v>57013.680465236117</v>
      </c>
      <c r="H192" s="102">
        <f t="shared" si="32"/>
        <v>54952.60992225309</v>
      </c>
      <c r="I192" s="102">
        <f t="shared" si="33"/>
        <v>54412.946246055733</v>
      </c>
      <c r="J192" s="102">
        <f t="shared" si="34"/>
        <v>58285.810426140059</v>
      </c>
      <c r="K192" s="93"/>
      <c r="L192" s="93"/>
      <c r="M192" s="93"/>
      <c r="N192" s="93"/>
      <c r="O192" s="93"/>
    </row>
    <row r="193" spans="1:15" s="34" customFormat="1" x14ac:dyDescent="0.3">
      <c r="A193" s="101">
        <v>14</v>
      </c>
      <c r="B193" s="102">
        <f t="shared" si="26"/>
        <v>54724.389751014125</v>
      </c>
      <c r="C193" s="102">
        <f t="shared" si="27"/>
        <v>51837.953830888626</v>
      </c>
      <c r="D193" s="102">
        <f t="shared" si="28"/>
        <v>59207.843440235833</v>
      </c>
      <c r="E193" s="102">
        <f t="shared" si="29"/>
        <v>54474.577674208165</v>
      </c>
      <c r="F193" s="102">
        <f t="shared" si="30"/>
        <v>52719.895948937097</v>
      </c>
      <c r="G193" s="102">
        <f t="shared" si="31"/>
        <v>58378.172808715812</v>
      </c>
      <c r="H193" s="102">
        <f t="shared" si="32"/>
        <v>55955.246070118716</v>
      </c>
      <c r="I193" s="102">
        <f t="shared" si="33"/>
        <v>55275.023649598479</v>
      </c>
      <c r="J193" s="102">
        <f t="shared" si="34"/>
        <v>59346.620458920064</v>
      </c>
      <c r="K193" s="93"/>
      <c r="L193" s="93"/>
      <c r="M193" s="93"/>
      <c r="N193" s="93"/>
      <c r="O193" s="93"/>
    </row>
    <row r="194" spans="1:15" s="34" customFormat="1" x14ac:dyDescent="0.3">
      <c r="A194" s="101">
        <v>15</v>
      </c>
      <c r="B194" s="102">
        <f t="shared" si="26"/>
        <v>56235.679018943702</v>
      </c>
      <c r="C194" s="102">
        <f t="shared" si="27"/>
        <v>53051.0976759521</v>
      </c>
      <c r="D194" s="102">
        <f t="shared" si="28"/>
        <v>60855.312257395533</v>
      </c>
      <c r="E194" s="102">
        <f t="shared" si="29"/>
        <v>55744.3089366516</v>
      </c>
      <c r="F194" s="102">
        <f t="shared" si="30"/>
        <v>53772.321373861174</v>
      </c>
      <c r="G194" s="102">
        <f t="shared" si="31"/>
        <v>59742.665152195514</v>
      </c>
      <c r="H194" s="102">
        <f t="shared" si="32"/>
        <v>56957.882217984341</v>
      </c>
      <c r="I194" s="102">
        <f t="shared" si="33"/>
        <v>56137.101053141232</v>
      </c>
      <c r="J194" s="102">
        <f t="shared" si="34"/>
        <v>60407.43049170007</v>
      </c>
      <c r="K194" s="93"/>
      <c r="L194" s="93"/>
      <c r="M194" s="93"/>
      <c r="N194" s="93"/>
      <c r="O194" s="93"/>
    </row>
    <row r="195" spans="1:15" s="34" customFormat="1" x14ac:dyDescent="0.3">
      <c r="A195" s="101">
        <v>16</v>
      </c>
      <c r="B195" s="102">
        <f t="shared" si="26"/>
        <v>57746.968286873278</v>
      </c>
      <c r="C195" s="102">
        <f t="shared" si="27"/>
        <v>54264.241521015574</v>
      </c>
      <c r="D195" s="102">
        <f t="shared" si="28"/>
        <v>62502.781074555242</v>
      </c>
      <c r="E195" s="102">
        <f t="shared" si="29"/>
        <v>57014.040199095041</v>
      </c>
      <c r="F195" s="102">
        <f t="shared" si="30"/>
        <v>54824.746798785258</v>
      </c>
      <c r="G195" s="102">
        <f t="shared" si="31"/>
        <v>61107.157495675216</v>
      </c>
      <c r="H195" s="102">
        <f t="shared" si="32"/>
        <v>57960.518365849959</v>
      </c>
      <c r="I195" s="102">
        <f t="shared" si="33"/>
        <v>56999.178456683978</v>
      </c>
      <c r="J195" s="102">
        <f t="shared" si="34"/>
        <v>61468.240524480076</v>
      </c>
      <c r="K195" s="93"/>
      <c r="L195" s="93"/>
      <c r="M195" s="93"/>
      <c r="N195" s="93"/>
      <c r="O195" s="93"/>
    </row>
    <row r="196" spans="1:15" s="34" customFormat="1" x14ac:dyDescent="0.3">
      <c r="A196" s="101">
        <v>17</v>
      </c>
      <c r="B196" s="102">
        <f t="shared" si="26"/>
        <v>59258.257554802862</v>
      </c>
      <c r="C196" s="102">
        <f t="shared" si="27"/>
        <v>55477.385366079048</v>
      </c>
      <c r="D196" s="102">
        <f t="shared" si="28"/>
        <v>64150.249891714935</v>
      </c>
      <c r="E196" s="102">
        <f t="shared" si="29"/>
        <v>58283.771461538483</v>
      </c>
      <c r="F196" s="102">
        <f t="shared" si="30"/>
        <v>55877.172223709335</v>
      </c>
      <c r="G196" s="102">
        <f t="shared" si="31"/>
        <v>62471.649839154918</v>
      </c>
      <c r="H196" s="102">
        <f t="shared" si="32"/>
        <v>58963.154513715577</v>
      </c>
      <c r="I196" s="102">
        <f t="shared" si="33"/>
        <v>57861.255860226724</v>
      </c>
      <c r="J196" s="102">
        <f t="shared" si="34"/>
        <v>62529.050557260081</v>
      </c>
      <c r="K196" s="93"/>
      <c r="L196" s="93"/>
      <c r="M196" s="93"/>
      <c r="N196" s="93"/>
      <c r="O196" s="93"/>
    </row>
    <row r="197" spans="1:15" s="34" customFormat="1" x14ac:dyDescent="0.3">
      <c r="A197" s="101">
        <v>18</v>
      </c>
      <c r="B197" s="102">
        <f t="shared" si="26"/>
        <v>60769.546822732445</v>
      </c>
      <c r="C197" s="102">
        <f t="shared" si="27"/>
        <v>56690.529211142522</v>
      </c>
      <c r="D197" s="102">
        <f t="shared" si="28"/>
        <v>65797.718708874643</v>
      </c>
      <c r="E197" s="102">
        <f t="shared" si="29"/>
        <v>59553.502723981917</v>
      </c>
      <c r="F197" s="102">
        <f t="shared" si="30"/>
        <v>56929.597648633411</v>
      </c>
      <c r="G197" s="102">
        <f t="shared" si="31"/>
        <v>63836.14218263462</v>
      </c>
      <c r="H197" s="102">
        <f t="shared" si="32"/>
        <v>59965.790661581203</v>
      </c>
      <c r="I197" s="102">
        <f t="shared" si="33"/>
        <v>58723.333263769469</v>
      </c>
      <c r="J197" s="102">
        <f t="shared" si="34"/>
        <v>63589.860590040087</v>
      </c>
      <c r="K197" s="93"/>
      <c r="L197" s="93"/>
      <c r="M197" s="93"/>
      <c r="N197" s="93"/>
      <c r="O197" s="93"/>
    </row>
    <row r="198" spans="1:15" s="34" customFormat="1" x14ac:dyDescent="0.3">
      <c r="A198" s="101">
        <v>19</v>
      </c>
      <c r="B198" s="102">
        <f t="shared" si="26"/>
        <v>62280.836090662022</v>
      </c>
      <c r="C198" s="102">
        <f t="shared" si="27"/>
        <v>57903.673056205997</v>
      </c>
      <c r="D198" s="102">
        <f t="shared" si="28"/>
        <v>67445.187526034337</v>
      </c>
      <c r="E198" s="102">
        <f t="shared" si="29"/>
        <v>60823.233986425359</v>
      </c>
      <c r="F198" s="102">
        <f t="shared" si="30"/>
        <v>57982.023073557488</v>
      </c>
      <c r="G198" s="102">
        <f t="shared" si="31"/>
        <v>65200.634526114314</v>
      </c>
      <c r="H198" s="102">
        <f t="shared" si="32"/>
        <v>60968.426809446828</v>
      </c>
      <c r="I198" s="102">
        <f t="shared" si="33"/>
        <v>59585.410667312222</v>
      </c>
      <c r="J198" s="102">
        <f t="shared" si="34"/>
        <v>64650.670622820093</v>
      </c>
      <c r="K198" s="93"/>
      <c r="L198" s="93"/>
      <c r="M198" s="93"/>
      <c r="N198" s="93"/>
      <c r="O198" s="93"/>
    </row>
    <row r="199" spans="1:15" s="34" customFormat="1" x14ac:dyDescent="0.3">
      <c r="A199" s="101">
        <v>20</v>
      </c>
      <c r="B199" s="102">
        <f t="shared" si="26"/>
        <v>63792.125358591598</v>
      </c>
      <c r="C199" s="102">
        <f t="shared" si="27"/>
        <v>59116.816901269471</v>
      </c>
      <c r="D199" s="102">
        <f t="shared" si="28"/>
        <v>69092.656343194045</v>
      </c>
      <c r="E199" s="102">
        <f t="shared" si="29"/>
        <v>62092.965248868801</v>
      </c>
      <c r="F199" s="102">
        <f t="shared" si="30"/>
        <v>59034.448498481564</v>
      </c>
      <c r="G199" s="102">
        <f t="shared" si="31"/>
        <v>66565.126869594023</v>
      </c>
      <c r="H199" s="102">
        <f t="shared" si="32"/>
        <v>61971.062957312446</v>
      </c>
      <c r="I199" s="102">
        <f t="shared" si="33"/>
        <v>60447.488070854968</v>
      </c>
      <c r="J199" s="102">
        <f t="shared" si="34"/>
        <v>65711.480655600099</v>
      </c>
      <c r="K199" s="93"/>
      <c r="L199" s="93"/>
      <c r="M199" s="93"/>
      <c r="N199" s="93"/>
      <c r="O199" s="93"/>
    </row>
    <row r="200" spans="1:15" s="34" customFormat="1" x14ac:dyDescent="0.3">
      <c r="A200" s="101">
        <v>21</v>
      </c>
      <c r="B200" s="102">
        <f t="shared" si="26"/>
        <v>65303.414626521182</v>
      </c>
      <c r="C200" s="102">
        <f t="shared" si="27"/>
        <v>60329.960746332945</v>
      </c>
      <c r="D200" s="102">
        <f t="shared" si="28"/>
        <v>70740.125160353753</v>
      </c>
      <c r="E200" s="102">
        <f t="shared" si="29"/>
        <v>63362.696511312242</v>
      </c>
      <c r="F200" s="102">
        <f t="shared" si="30"/>
        <v>60086.873923405641</v>
      </c>
      <c r="G200" s="102">
        <f t="shared" si="31"/>
        <v>67929.619213073718</v>
      </c>
      <c r="H200" s="102">
        <f t="shared" si="32"/>
        <v>62973.699105178071</v>
      </c>
      <c r="I200" s="102">
        <f t="shared" si="33"/>
        <v>61309.565474397721</v>
      </c>
      <c r="J200" s="102">
        <f t="shared" si="34"/>
        <v>66772.290688380104</v>
      </c>
      <c r="K200" s="93"/>
      <c r="L200" s="93"/>
      <c r="M200" s="93"/>
      <c r="N200" s="93"/>
      <c r="O200" s="93"/>
    </row>
    <row r="201" spans="1:15" s="34" customFormat="1" x14ac:dyDescent="0.3">
      <c r="A201" s="101">
        <v>22</v>
      </c>
      <c r="B201" s="102">
        <f t="shared" si="26"/>
        <v>66814.703894450766</v>
      </c>
      <c r="C201" s="102">
        <f t="shared" si="27"/>
        <v>61543.104591396419</v>
      </c>
      <c r="D201" s="102">
        <f t="shared" si="28"/>
        <v>72387.593977513461</v>
      </c>
      <c r="E201" s="102">
        <f t="shared" si="29"/>
        <v>64632.427773755684</v>
      </c>
      <c r="F201" s="102">
        <f t="shared" si="30"/>
        <v>61139.299348329725</v>
      </c>
      <c r="G201" s="102">
        <f t="shared" si="31"/>
        <v>69294.111556553427</v>
      </c>
      <c r="H201" s="102">
        <f t="shared" si="32"/>
        <v>63976.335253043697</v>
      </c>
      <c r="I201" s="102">
        <f t="shared" si="33"/>
        <v>62171.642877940467</v>
      </c>
      <c r="J201" s="102">
        <f t="shared" si="34"/>
        <v>67833.100721160095</v>
      </c>
      <c r="K201" s="93"/>
      <c r="L201" s="93"/>
      <c r="M201" s="93"/>
      <c r="N201" s="93"/>
      <c r="O201" s="93"/>
    </row>
    <row r="202" spans="1:15" s="34" customFormat="1" x14ac:dyDescent="0.3">
      <c r="A202" s="101">
        <v>23</v>
      </c>
      <c r="B202" s="102">
        <f t="shared" si="26"/>
        <v>68325.993162380342</v>
      </c>
      <c r="C202" s="102">
        <f t="shared" si="27"/>
        <v>62756.248436459893</v>
      </c>
      <c r="D202" s="102">
        <f t="shared" si="28"/>
        <v>74035.062794673155</v>
      </c>
      <c r="E202" s="102">
        <f t="shared" si="29"/>
        <v>65902.159036199126</v>
      </c>
      <c r="F202" s="102">
        <f t="shared" si="30"/>
        <v>62191.724773253802</v>
      </c>
      <c r="G202" s="102">
        <f t="shared" si="31"/>
        <v>70658.603900033122</v>
      </c>
      <c r="H202" s="102">
        <f t="shared" si="32"/>
        <v>64978.971400909315</v>
      </c>
      <c r="I202" s="102">
        <f t="shared" si="33"/>
        <v>63033.720281483213</v>
      </c>
      <c r="J202" s="102">
        <f t="shared" si="34"/>
        <v>68893.910753940116</v>
      </c>
      <c r="K202" s="93"/>
      <c r="L202" s="93"/>
      <c r="M202" s="93"/>
      <c r="N202" s="93"/>
      <c r="O202" s="93"/>
    </row>
    <row r="203" spans="1:15" s="34" customFormat="1" x14ac:dyDescent="0.3">
      <c r="A203" s="101">
        <v>24</v>
      </c>
      <c r="B203" s="102">
        <f t="shared" si="26"/>
        <v>69837.282430309919</v>
      </c>
      <c r="C203" s="102">
        <f t="shared" si="27"/>
        <v>63969.392281523367</v>
      </c>
      <c r="D203" s="102">
        <f t="shared" si="28"/>
        <v>75682.531611832848</v>
      </c>
      <c r="E203" s="102">
        <f t="shared" si="29"/>
        <v>67171.890298642567</v>
      </c>
      <c r="F203" s="102">
        <f t="shared" si="30"/>
        <v>63244.150198177878</v>
      </c>
      <c r="G203" s="102">
        <f t="shared" si="31"/>
        <v>72023.096243512817</v>
      </c>
      <c r="H203" s="102">
        <f t="shared" si="32"/>
        <v>65981.607548774948</v>
      </c>
      <c r="I203" s="102">
        <f t="shared" si="33"/>
        <v>63895.797685025958</v>
      </c>
      <c r="J203" s="102">
        <f t="shared" si="34"/>
        <v>69954.720786720107</v>
      </c>
      <c r="K203" s="93"/>
      <c r="L203" s="93"/>
      <c r="M203" s="93"/>
      <c r="N203" s="93"/>
      <c r="O203" s="93"/>
    </row>
    <row r="204" spans="1:15" s="34" customFormat="1" x14ac:dyDescent="0.3">
      <c r="A204" s="101">
        <v>25</v>
      </c>
      <c r="B204" s="102">
        <f t="shared" si="26"/>
        <v>71348.57169823951</v>
      </c>
      <c r="C204" s="102">
        <f t="shared" si="27"/>
        <v>65182.536126586841</v>
      </c>
      <c r="D204" s="102">
        <f t="shared" si="28"/>
        <v>77330.000428992556</v>
      </c>
      <c r="E204" s="102">
        <f t="shared" si="29"/>
        <v>68441.621561086009</v>
      </c>
      <c r="F204" s="102">
        <f t="shared" si="30"/>
        <v>64296.575623101962</v>
      </c>
      <c r="G204" s="102">
        <f t="shared" si="31"/>
        <v>73387.588586992526</v>
      </c>
      <c r="H204" s="102">
        <f t="shared" si="32"/>
        <v>66984.243696640566</v>
      </c>
      <c r="I204" s="102">
        <f t="shared" si="33"/>
        <v>64757.875088568711</v>
      </c>
      <c r="J204" s="102">
        <f t="shared" si="34"/>
        <v>71015.530819500127</v>
      </c>
      <c r="K204" s="93"/>
      <c r="L204" s="93"/>
      <c r="M204" s="93"/>
      <c r="N204" s="93"/>
      <c r="O204" s="93"/>
    </row>
    <row r="205" spans="1:15" s="34" customFormat="1" x14ac:dyDescent="0.3">
      <c r="A205" s="101">
        <v>26</v>
      </c>
      <c r="B205" s="102">
        <f t="shared" si="26"/>
        <v>72859.860966169086</v>
      </c>
      <c r="C205" s="102">
        <f t="shared" si="27"/>
        <v>66395.679971650316</v>
      </c>
      <c r="D205" s="102">
        <f t="shared" si="28"/>
        <v>78977.469246152265</v>
      </c>
      <c r="E205" s="102">
        <f t="shared" si="29"/>
        <v>69711.352823529451</v>
      </c>
      <c r="F205" s="102">
        <f t="shared" si="30"/>
        <v>65349.001048026039</v>
      </c>
      <c r="G205" s="102">
        <f t="shared" si="31"/>
        <v>74752.080930472235</v>
      </c>
      <c r="H205" s="102">
        <f t="shared" si="32"/>
        <v>67986.879844506184</v>
      </c>
      <c r="I205" s="102">
        <f t="shared" si="33"/>
        <v>65619.952492111464</v>
      </c>
      <c r="J205" s="102">
        <f t="shared" si="34"/>
        <v>72076.340852280118</v>
      </c>
      <c r="K205" s="93"/>
      <c r="L205" s="93"/>
      <c r="M205" s="93"/>
      <c r="N205" s="93"/>
      <c r="O205" s="93"/>
    </row>
    <row r="206" spans="1:15" s="34" customFormat="1" x14ac:dyDescent="0.3">
      <c r="A206" s="101">
        <v>27</v>
      </c>
      <c r="B206" s="102">
        <f t="shared" si="26"/>
        <v>74371.150234098663</v>
      </c>
      <c r="C206" s="102">
        <f t="shared" si="27"/>
        <v>67608.82381671379</v>
      </c>
      <c r="D206" s="102">
        <f t="shared" si="28"/>
        <v>80624.938063311973</v>
      </c>
      <c r="E206" s="102">
        <f t="shared" si="29"/>
        <v>70981.084085972892</v>
      </c>
      <c r="F206" s="102">
        <f t="shared" si="30"/>
        <v>66401.426472950116</v>
      </c>
      <c r="G206" s="102">
        <f t="shared" si="31"/>
        <v>76116.57327395193</v>
      </c>
      <c r="H206" s="102">
        <f t="shared" si="32"/>
        <v>68989.515992371802</v>
      </c>
      <c r="I206" s="102">
        <f t="shared" si="33"/>
        <v>66482.02989565421</v>
      </c>
      <c r="J206" s="102">
        <f t="shared" si="34"/>
        <v>73137.150885060124</v>
      </c>
      <c r="K206" s="93"/>
      <c r="L206" s="93"/>
      <c r="M206" s="93"/>
      <c r="N206" s="93"/>
      <c r="O206" s="93"/>
    </row>
    <row r="207" spans="1:15" s="34" customFormat="1" x14ac:dyDescent="0.3">
      <c r="A207" s="101">
        <v>28</v>
      </c>
      <c r="B207" s="102">
        <f t="shared" si="26"/>
        <v>75882.439502028254</v>
      </c>
      <c r="C207" s="102">
        <f t="shared" si="27"/>
        <v>68821.967661777249</v>
      </c>
      <c r="D207" s="102">
        <f t="shared" si="28"/>
        <v>82272.406880471666</v>
      </c>
      <c r="E207" s="102">
        <f t="shared" si="29"/>
        <v>72250.815348416334</v>
      </c>
      <c r="F207" s="102">
        <f t="shared" si="30"/>
        <v>67453.851897874192</v>
      </c>
      <c r="G207" s="102">
        <f t="shared" si="31"/>
        <v>77481.065617431625</v>
      </c>
      <c r="H207" s="102">
        <f t="shared" si="32"/>
        <v>69992.152140237435</v>
      </c>
      <c r="I207" s="102">
        <f t="shared" si="33"/>
        <v>67344.107299196956</v>
      </c>
      <c r="J207" s="102">
        <f t="shared" si="34"/>
        <v>74197.96091784013</v>
      </c>
      <c r="K207" s="93"/>
      <c r="L207" s="93"/>
      <c r="M207" s="93"/>
      <c r="N207" s="93"/>
      <c r="O207" s="93"/>
    </row>
    <row r="208" spans="1:15" s="34" customFormat="1" x14ac:dyDescent="0.3">
      <c r="A208" s="101">
        <v>29</v>
      </c>
      <c r="B208" s="102">
        <f t="shared" si="26"/>
        <v>77393.728769957816</v>
      </c>
      <c r="C208" s="102">
        <f t="shared" si="27"/>
        <v>70035.111506840738</v>
      </c>
      <c r="D208" s="102">
        <f t="shared" si="28"/>
        <v>83919.87569763136</v>
      </c>
      <c r="E208" s="102">
        <f t="shared" si="29"/>
        <v>73520.546610859776</v>
      </c>
      <c r="F208" s="102">
        <f t="shared" si="30"/>
        <v>68506.277322798269</v>
      </c>
      <c r="G208" s="102">
        <f t="shared" si="31"/>
        <v>78845.557960911334</v>
      </c>
      <c r="H208" s="102">
        <f t="shared" si="32"/>
        <v>70994.788288103053</v>
      </c>
      <c r="I208" s="102">
        <f t="shared" si="33"/>
        <v>68206.184702739702</v>
      </c>
      <c r="J208" s="102">
        <f t="shared" si="34"/>
        <v>75258.770950620135</v>
      </c>
      <c r="K208" s="93"/>
      <c r="L208" s="93"/>
      <c r="M208" s="93"/>
      <c r="N208" s="93"/>
      <c r="O208" s="93"/>
    </row>
    <row r="209" spans="1:15" s="34" customFormat="1" x14ac:dyDescent="0.3">
      <c r="A209" s="101">
        <v>30</v>
      </c>
      <c r="B209" s="102">
        <f t="shared" si="26"/>
        <v>78905.018037887407</v>
      </c>
      <c r="C209" s="102">
        <f t="shared" si="27"/>
        <v>71248.255351904198</v>
      </c>
      <c r="D209" s="102">
        <f t="shared" si="28"/>
        <v>85567.344514791068</v>
      </c>
      <c r="E209" s="102">
        <f t="shared" si="29"/>
        <v>74790.277873303203</v>
      </c>
      <c r="F209" s="102">
        <f t="shared" si="30"/>
        <v>69558.702747722346</v>
      </c>
      <c r="G209" s="102">
        <f t="shared" si="31"/>
        <v>80210.050304391028</v>
      </c>
      <c r="H209" s="102">
        <f t="shared" si="32"/>
        <v>71997.424435968685</v>
      </c>
      <c r="I209" s="102">
        <f t="shared" si="33"/>
        <v>69068.262106282462</v>
      </c>
      <c r="J209" s="102">
        <f t="shared" si="34"/>
        <v>76319.580983400141</v>
      </c>
      <c r="K209" s="93"/>
      <c r="L209" s="93"/>
      <c r="M209" s="93"/>
      <c r="N209" s="93"/>
      <c r="O209" s="93"/>
    </row>
    <row r="210" spans="1:15" s="34" customFormat="1" x14ac:dyDescent="0.3">
      <c r="A210" s="101">
        <v>31</v>
      </c>
      <c r="B210" s="102">
        <f t="shared" si="26"/>
        <v>80416.307305816983</v>
      </c>
      <c r="C210" s="102">
        <f t="shared" si="27"/>
        <v>72461.399196967686</v>
      </c>
      <c r="D210" s="102">
        <f t="shared" si="28"/>
        <v>87214.813331950776</v>
      </c>
      <c r="E210" s="102">
        <f t="shared" si="29"/>
        <v>76060.009135746644</v>
      </c>
      <c r="F210" s="102">
        <f t="shared" si="30"/>
        <v>70611.128172646422</v>
      </c>
      <c r="G210" s="102">
        <f t="shared" si="31"/>
        <v>81574.542647870723</v>
      </c>
      <c r="H210" s="102">
        <f t="shared" si="32"/>
        <v>73000.060583834304</v>
      </c>
      <c r="I210" s="102">
        <f t="shared" si="33"/>
        <v>69930.339509825193</v>
      </c>
      <c r="J210" s="102">
        <f t="shared" si="34"/>
        <v>77380.391016180147</v>
      </c>
      <c r="K210" s="93"/>
      <c r="L210" s="93"/>
      <c r="M210" s="93"/>
      <c r="N210" s="93"/>
      <c r="O210" s="93"/>
    </row>
    <row r="211" spans="1:15" s="34" customFormat="1" x14ac:dyDescent="0.3">
      <c r="A211" s="101">
        <v>32</v>
      </c>
      <c r="B211" s="102">
        <f t="shared" si="26"/>
        <v>81927.596573746559</v>
      </c>
      <c r="C211" s="102">
        <f t="shared" si="27"/>
        <v>73674.543042031146</v>
      </c>
      <c r="D211" s="102">
        <f t="shared" si="28"/>
        <v>88862.282149110484</v>
      </c>
      <c r="E211" s="102">
        <f t="shared" si="29"/>
        <v>77329.740398190086</v>
      </c>
      <c r="F211" s="102">
        <f t="shared" si="30"/>
        <v>71663.553597570513</v>
      </c>
      <c r="G211" s="102">
        <f t="shared" si="31"/>
        <v>82939.034991350432</v>
      </c>
      <c r="H211" s="102">
        <f t="shared" si="32"/>
        <v>74002.696731699922</v>
      </c>
      <c r="I211" s="102">
        <f t="shared" si="33"/>
        <v>70792.416913367953</v>
      </c>
      <c r="J211" s="102">
        <f t="shared" si="34"/>
        <v>78441.201048960153</v>
      </c>
      <c r="K211" s="93"/>
      <c r="L211" s="93"/>
      <c r="M211" s="93"/>
      <c r="N211" s="93"/>
      <c r="O211" s="93"/>
    </row>
    <row r="212" spans="1:15" s="34" customFormat="1" x14ac:dyDescent="0.3">
      <c r="A212" s="101">
        <v>33</v>
      </c>
      <c r="B212" s="102">
        <f t="shared" ref="B212:B229" si="35">B$179+G$143*$A212</f>
        <v>83438.88584167615</v>
      </c>
      <c r="C212" s="102">
        <f t="shared" ref="C212:C229" si="36">C$179+H$143*$A212</f>
        <v>74887.686887094635</v>
      </c>
      <c r="D212" s="102">
        <f t="shared" ref="D212:D229" si="37">D$179+I$143*$A212</f>
        <v>90509.750966270178</v>
      </c>
      <c r="E212" s="102">
        <f t="shared" ref="E212:E229" si="38">E$179+J$143*$A212</f>
        <v>78599.471660633528</v>
      </c>
      <c r="F212" s="102">
        <f t="shared" ref="F212:F229" si="39">F$179+K$143*$A212</f>
        <v>72715.979022494575</v>
      </c>
      <c r="G212" s="102">
        <f t="shared" ref="G212:G229" si="40">G$179+L$143*$A212</f>
        <v>84303.527334830142</v>
      </c>
      <c r="H212" s="102">
        <f t="shared" ref="H212:H229" si="41">H$179+M$143*$A212</f>
        <v>75005.33287956554</v>
      </c>
      <c r="I212" s="102">
        <f t="shared" ref="I212:I229" si="42">I$179+N$143*$A212</f>
        <v>71654.494316910699</v>
      </c>
      <c r="J212" s="102">
        <f t="shared" ref="J212:J229" si="43">J$179+O$143*$A212</f>
        <v>79502.011081740158</v>
      </c>
      <c r="K212" s="93"/>
      <c r="L212" s="93"/>
      <c r="M212" s="93"/>
      <c r="N212" s="93"/>
      <c r="O212" s="93"/>
    </row>
    <row r="213" spans="1:15" s="34" customFormat="1" x14ac:dyDescent="0.3">
      <c r="A213" s="101">
        <v>34</v>
      </c>
      <c r="B213" s="102">
        <f t="shared" si="35"/>
        <v>84950.175109605727</v>
      </c>
      <c r="C213" s="102">
        <f t="shared" si="36"/>
        <v>76100.830732158094</v>
      </c>
      <c r="D213" s="102">
        <f t="shared" si="37"/>
        <v>92157.219783429871</v>
      </c>
      <c r="E213" s="102">
        <f t="shared" si="38"/>
        <v>79869.202923076969</v>
      </c>
      <c r="F213" s="102">
        <f t="shared" si="39"/>
        <v>73768.404447418667</v>
      </c>
      <c r="G213" s="102">
        <f t="shared" si="40"/>
        <v>85668.019678309836</v>
      </c>
      <c r="H213" s="102">
        <f t="shared" si="41"/>
        <v>76007.969027431158</v>
      </c>
      <c r="I213" s="102">
        <f t="shared" si="42"/>
        <v>72516.571720453445</v>
      </c>
      <c r="J213" s="102">
        <f t="shared" si="43"/>
        <v>80562.821114520164</v>
      </c>
      <c r="K213" s="93"/>
      <c r="L213" s="93"/>
      <c r="M213" s="93"/>
      <c r="N213" s="93"/>
      <c r="O213" s="93"/>
    </row>
    <row r="214" spans="1:15" s="34" customFormat="1" x14ac:dyDescent="0.3">
      <c r="A214" s="101">
        <v>35</v>
      </c>
      <c r="B214" s="102">
        <f t="shared" si="35"/>
        <v>86461.464377535303</v>
      </c>
      <c r="C214" s="102">
        <f t="shared" si="36"/>
        <v>77313.974577221583</v>
      </c>
      <c r="D214" s="102">
        <f t="shared" si="37"/>
        <v>93804.688600589579</v>
      </c>
      <c r="E214" s="102">
        <f t="shared" si="38"/>
        <v>81138.934185520397</v>
      </c>
      <c r="F214" s="102">
        <f t="shared" si="39"/>
        <v>74820.829872342743</v>
      </c>
      <c r="G214" s="102">
        <f t="shared" si="40"/>
        <v>87032.512021789531</v>
      </c>
      <c r="H214" s="102">
        <f t="shared" si="41"/>
        <v>77010.605175296791</v>
      </c>
      <c r="I214" s="102">
        <f t="shared" si="42"/>
        <v>73378.649123996191</v>
      </c>
      <c r="J214" s="102">
        <f t="shared" si="43"/>
        <v>81623.63114730017</v>
      </c>
      <c r="K214" s="93"/>
      <c r="L214" s="93"/>
      <c r="M214" s="93"/>
      <c r="N214" s="93"/>
      <c r="O214" s="93"/>
    </row>
    <row r="215" spans="1:15" s="34" customFormat="1" x14ac:dyDescent="0.3">
      <c r="A215" s="101">
        <v>36</v>
      </c>
      <c r="B215" s="102">
        <f t="shared" si="35"/>
        <v>87972.753645464894</v>
      </c>
      <c r="C215" s="102">
        <f t="shared" si="36"/>
        <v>78527.118422285042</v>
      </c>
      <c r="D215" s="102">
        <f t="shared" si="37"/>
        <v>95452.157417749288</v>
      </c>
      <c r="E215" s="102">
        <f t="shared" si="38"/>
        <v>82408.665447963838</v>
      </c>
      <c r="F215" s="102">
        <f t="shared" si="39"/>
        <v>75873.25529726682</v>
      </c>
      <c r="G215" s="102">
        <f t="shared" si="40"/>
        <v>88397.00436526924</v>
      </c>
      <c r="H215" s="102">
        <f t="shared" si="41"/>
        <v>78013.241323162409</v>
      </c>
      <c r="I215" s="102">
        <f t="shared" si="42"/>
        <v>74240.726527538936</v>
      </c>
      <c r="J215" s="102">
        <f t="shared" si="43"/>
        <v>82684.441180080175</v>
      </c>
      <c r="K215" s="93"/>
      <c r="L215" s="93"/>
      <c r="M215" s="93"/>
      <c r="N215" s="93"/>
      <c r="O215" s="93"/>
    </row>
    <row r="216" spans="1:15" s="34" customFormat="1" x14ac:dyDescent="0.3">
      <c r="A216" s="101">
        <v>37</v>
      </c>
      <c r="B216" s="102">
        <f t="shared" si="35"/>
        <v>89484.042913394471</v>
      </c>
      <c r="C216" s="102">
        <f t="shared" si="36"/>
        <v>79740.262267348531</v>
      </c>
      <c r="D216" s="102">
        <f t="shared" si="37"/>
        <v>97099.626234908996</v>
      </c>
      <c r="E216" s="102">
        <f t="shared" si="38"/>
        <v>83678.39671040728</v>
      </c>
      <c r="F216" s="102">
        <f t="shared" si="39"/>
        <v>76925.680722190897</v>
      </c>
      <c r="G216" s="102">
        <f t="shared" si="40"/>
        <v>89761.496708748935</v>
      </c>
      <c r="H216" s="102">
        <f t="shared" si="41"/>
        <v>79015.877471028041</v>
      </c>
      <c r="I216" s="102">
        <f t="shared" si="42"/>
        <v>75102.803931081697</v>
      </c>
      <c r="J216" s="102">
        <f t="shared" si="43"/>
        <v>83745.251212860167</v>
      </c>
      <c r="K216" s="93"/>
      <c r="L216" s="93"/>
      <c r="M216" s="93"/>
      <c r="N216" s="93"/>
      <c r="O216" s="93"/>
    </row>
    <row r="217" spans="1:15" s="34" customFormat="1" x14ac:dyDescent="0.3">
      <c r="A217" s="101">
        <v>38</v>
      </c>
      <c r="B217" s="102">
        <f t="shared" si="35"/>
        <v>90995.332181324047</v>
      </c>
      <c r="C217" s="102">
        <f t="shared" si="36"/>
        <v>80953.406112411991</v>
      </c>
      <c r="D217" s="102">
        <f t="shared" si="37"/>
        <v>98747.095052068689</v>
      </c>
      <c r="E217" s="102">
        <f t="shared" si="38"/>
        <v>84948.127972850722</v>
      </c>
      <c r="F217" s="102">
        <f t="shared" si="39"/>
        <v>77978.106147114973</v>
      </c>
      <c r="G217" s="102">
        <f t="shared" si="40"/>
        <v>91125.98905222863</v>
      </c>
      <c r="H217" s="102">
        <f t="shared" si="41"/>
        <v>80018.513618893659</v>
      </c>
      <c r="I217" s="102">
        <f t="shared" si="42"/>
        <v>75964.881334624442</v>
      </c>
      <c r="J217" s="102">
        <f t="shared" si="43"/>
        <v>84806.061245640187</v>
      </c>
      <c r="K217" s="93"/>
      <c r="L217" s="93"/>
      <c r="M217" s="93"/>
      <c r="N217" s="93"/>
      <c r="O217" s="93"/>
    </row>
    <row r="218" spans="1:15" s="34" customFormat="1" x14ac:dyDescent="0.3">
      <c r="A218" s="101">
        <v>39</v>
      </c>
      <c r="B218" s="102">
        <f t="shared" si="35"/>
        <v>92506.621449253638</v>
      </c>
      <c r="C218" s="102">
        <f t="shared" si="36"/>
        <v>82166.549957475465</v>
      </c>
      <c r="D218" s="102">
        <f t="shared" si="37"/>
        <v>100394.5638692284</v>
      </c>
      <c r="E218" s="102">
        <f t="shared" si="38"/>
        <v>86217.859235294163</v>
      </c>
      <c r="F218" s="102">
        <f t="shared" si="39"/>
        <v>79030.531572039064</v>
      </c>
      <c r="G218" s="102">
        <f t="shared" si="40"/>
        <v>92490.481395708339</v>
      </c>
      <c r="H218" s="102">
        <f t="shared" si="41"/>
        <v>81021.149766759278</v>
      </c>
      <c r="I218" s="102">
        <f t="shared" si="42"/>
        <v>76826.958738167188</v>
      </c>
      <c r="J218" s="102">
        <f t="shared" si="43"/>
        <v>85866.871278420178</v>
      </c>
      <c r="K218" s="93"/>
      <c r="L218" s="93"/>
      <c r="M218" s="93"/>
      <c r="N218" s="93"/>
      <c r="O218" s="93"/>
    </row>
    <row r="219" spans="1:15" s="34" customFormat="1" x14ac:dyDescent="0.3">
      <c r="A219" s="101">
        <v>40</v>
      </c>
      <c r="B219" s="102">
        <f t="shared" si="35"/>
        <v>94017.9107171832</v>
      </c>
      <c r="C219" s="102">
        <f t="shared" si="36"/>
        <v>83379.693802538939</v>
      </c>
      <c r="D219" s="102">
        <f t="shared" si="37"/>
        <v>102042.03268638809</v>
      </c>
      <c r="E219" s="102">
        <f t="shared" si="38"/>
        <v>87487.590497737605</v>
      </c>
      <c r="F219" s="102">
        <f t="shared" si="39"/>
        <v>80082.956996963127</v>
      </c>
      <c r="G219" s="102">
        <f t="shared" si="40"/>
        <v>93854.973739188048</v>
      </c>
      <c r="H219" s="102">
        <f t="shared" si="41"/>
        <v>82023.785914624896</v>
      </c>
      <c r="I219" s="102">
        <f t="shared" si="42"/>
        <v>77689.036141709934</v>
      </c>
      <c r="J219" s="102">
        <f t="shared" si="43"/>
        <v>86927.681311200198</v>
      </c>
      <c r="K219" s="93"/>
      <c r="L219" s="93"/>
      <c r="M219" s="93"/>
      <c r="N219" s="93"/>
      <c r="O219" s="93"/>
    </row>
    <row r="220" spans="1:15" s="34" customFormat="1" x14ac:dyDescent="0.3">
      <c r="A220" s="101">
        <v>41</v>
      </c>
      <c r="B220" s="102">
        <f t="shared" si="35"/>
        <v>95529.199985112791</v>
      </c>
      <c r="C220" s="102">
        <f t="shared" si="36"/>
        <v>84592.837647602413</v>
      </c>
      <c r="D220" s="102">
        <f t="shared" si="37"/>
        <v>103689.5015035478</v>
      </c>
      <c r="E220" s="102">
        <f t="shared" si="38"/>
        <v>88757.321760181047</v>
      </c>
      <c r="F220" s="102">
        <f t="shared" si="39"/>
        <v>81135.382421887218</v>
      </c>
      <c r="G220" s="102">
        <f t="shared" si="40"/>
        <v>95219.466082667743</v>
      </c>
      <c r="H220" s="102">
        <f t="shared" si="41"/>
        <v>83026.422062490528</v>
      </c>
      <c r="I220" s="102">
        <f t="shared" si="42"/>
        <v>78551.11354525268</v>
      </c>
      <c r="J220" s="102">
        <f t="shared" si="43"/>
        <v>87988.491343980189</v>
      </c>
      <c r="K220" s="93"/>
      <c r="L220" s="93"/>
      <c r="M220" s="93"/>
      <c r="N220" s="93"/>
      <c r="O220" s="93"/>
    </row>
    <row r="221" spans="1:15" s="34" customFormat="1" x14ac:dyDescent="0.3">
      <c r="A221" s="101">
        <v>42</v>
      </c>
      <c r="B221" s="102">
        <f t="shared" si="35"/>
        <v>97040.489253042368</v>
      </c>
      <c r="C221" s="102">
        <f t="shared" si="36"/>
        <v>85805.981492665887</v>
      </c>
      <c r="D221" s="102">
        <f t="shared" si="37"/>
        <v>105336.97032070751</v>
      </c>
      <c r="E221" s="102">
        <f t="shared" si="38"/>
        <v>90027.053022624488</v>
      </c>
      <c r="F221" s="102">
        <f t="shared" si="39"/>
        <v>82187.80784681128</v>
      </c>
      <c r="G221" s="102">
        <f t="shared" si="40"/>
        <v>96583.958426147437</v>
      </c>
      <c r="H221" s="102">
        <f t="shared" si="41"/>
        <v>84029.058210356146</v>
      </c>
      <c r="I221" s="102">
        <f t="shared" si="42"/>
        <v>79413.19094879544</v>
      </c>
      <c r="J221" s="102">
        <f t="shared" si="43"/>
        <v>89049.30137676021</v>
      </c>
      <c r="K221" s="93"/>
      <c r="L221" s="93"/>
      <c r="M221" s="93"/>
      <c r="N221" s="93"/>
      <c r="O221" s="93"/>
    </row>
    <row r="222" spans="1:15" s="34" customFormat="1" x14ac:dyDescent="0.3">
      <c r="A222" s="101">
        <v>43</v>
      </c>
      <c r="B222" s="102">
        <f t="shared" si="35"/>
        <v>98551.778520971944</v>
      </c>
      <c r="C222" s="102">
        <f t="shared" si="36"/>
        <v>87019.125337729361</v>
      </c>
      <c r="D222" s="102">
        <f t="shared" si="37"/>
        <v>106984.4391378672</v>
      </c>
      <c r="E222" s="102">
        <f t="shared" si="38"/>
        <v>91296.78428506793</v>
      </c>
      <c r="F222" s="102">
        <f t="shared" si="39"/>
        <v>83240.233271735371</v>
      </c>
      <c r="G222" s="102">
        <f t="shared" si="40"/>
        <v>97948.450769627147</v>
      </c>
      <c r="H222" s="102">
        <f t="shared" si="41"/>
        <v>85031.694358221779</v>
      </c>
      <c r="I222" s="102">
        <f t="shared" si="42"/>
        <v>80275.268352338171</v>
      </c>
      <c r="J222" s="102">
        <f t="shared" si="43"/>
        <v>90110.111409540201</v>
      </c>
      <c r="K222" s="93"/>
      <c r="L222" s="93"/>
      <c r="M222" s="93"/>
      <c r="N222" s="93"/>
      <c r="O222" s="93"/>
    </row>
    <row r="223" spans="1:15" s="34" customFormat="1" x14ac:dyDescent="0.3">
      <c r="A223" s="101">
        <v>44</v>
      </c>
      <c r="B223" s="102">
        <f t="shared" si="35"/>
        <v>100063.06778890154</v>
      </c>
      <c r="C223" s="102">
        <f t="shared" si="36"/>
        <v>88232.269182792836</v>
      </c>
      <c r="D223" s="102">
        <f t="shared" si="37"/>
        <v>108631.90795502691</v>
      </c>
      <c r="E223" s="102">
        <f t="shared" si="38"/>
        <v>92566.515547511372</v>
      </c>
      <c r="F223" s="102">
        <f t="shared" si="39"/>
        <v>84292.658696659448</v>
      </c>
      <c r="G223" s="102">
        <f t="shared" si="40"/>
        <v>99312.943113106841</v>
      </c>
      <c r="H223" s="102">
        <f t="shared" si="41"/>
        <v>86034.330506087397</v>
      </c>
      <c r="I223" s="102">
        <f t="shared" si="42"/>
        <v>81137.345755880931</v>
      </c>
      <c r="J223" s="102">
        <f t="shared" si="43"/>
        <v>91170.921442320207</v>
      </c>
      <c r="K223" s="93"/>
      <c r="L223" s="93"/>
      <c r="M223" s="93"/>
      <c r="N223" s="93"/>
      <c r="O223" s="93"/>
    </row>
    <row r="224" spans="1:15" s="34" customFormat="1" x14ac:dyDescent="0.3">
      <c r="A224" s="101">
        <v>45</v>
      </c>
      <c r="B224" s="102">
        <f t="shared" si="35"/>
        <v>101574.35705683111</v>
      </c>
      <c r="C224" s="102">
        <f t="shared" si="36"/>
        <v>89445.41302785631</v>
      </c>
      <c r="D224" s="102">
        <f t="shared" si="37"/>
        <v>110279.3767721866</v>
      </c>
      <c r="E224" s="102">
        <f t="shared" si="38"/>
        <v>93836.246809954813</v>
      </c>
      <c r="F224" s="102">
        <f t="shared" si="39"/>
        <v>85345.084121583524</v>
      </c>
      <c r="G224" s="102">
        <f t="shared" si="40"/>
        <v>100677.43545658654</v>
      </c>
      <c r="H224" s="102">
        <f t="shared" si="41"/>
        <v>87036.966653953015</v>
      </c>
      <c r="I224" s="102">
        <f t="shared" si="42"/>
        <v>81999.423159423677</v>
      </c>
      <c r="J224" s="102">
        <f t="shared" si="43"/>
        <v>92231.731475100212</v>
      </c>
      <c r="K224" s="93"/>
      <c r="L224" s="93"/>
      <c r="M224" s="93"/>
      <c r="N224" s="93"/>
      <c r="O224" s="93"/>
    </row>
    <row r="225" spans="1:15" s="34" customFormat="1" x14ac:dyDescent="0.3">
      <c r="A225" s="101">
        <v>46</v>
      </c>
      <c r="B225" s="102">
        <f t="shared" si="35"/>
        <v>103085.64632476069</v>
      </c>
      <c r="C225" s="102">
        <f t="shared" si="36"/>
        <v>90658.556872919784</v>
      </c>
      <c r="D225" s="102">
        <f t="shared" si="37"/>
        <v>111926.84558934631</v>
      </c>
      <c r="E225" s="102">
        <f t="shared" si="38"/>
        <v>95105.978072398255</v>
      </c>
      <c r="F225" s="102">
        <f t="shared" si="39"/>
        <v>86397.509546507601</v>
      </c>
      <c r="G225" s="102">
        <f t="shared" si="40"/>
        <v>102041.92780006625</v>
      </c>
      <c r="H225" s="102">
        <f t="shared" si="41"/>
        <v>88039.602801818633</v>
      </c>
      <c r="I225" s="102">
        <f t="shared" si="42"/>
        <v>82861.500562966423</v>
      </c>
      <c r="J225" s="102">
        <f t="shared" si="43"/>
        <v>93292.541507880218</v>
      </c>
      <c r="K225" s="93"/>
      <c r="L225" s="93"/>
      <c r="M225" s="93"/>
      <c r="N225" s="93"/>
      <c r="O225" s="93"/>
    </row>
    <row r="226" spans="1:15" s="34" customFormat="1" x14ac:dyDescent="0.3">
      <c r="A226" s="101">
        <v>47</v>
      </c>
      <c r="B226" s="102">
        <f t="shared" si="35"/>
        <v>104596.93559269026</v>
      </c>
      <c r="C226" s="102">
        <f t="shared" si="36"/>
        <v>91871.700717983258</v>
      </c>
      <c r="D226" s="102">
        <f t="shared" si="37"/>
        <v>113574.31440650602</v>
      </c>
      <c r="E226" s="102">
        <f t="shared" si="38"/>
        <v>96375.709334841697</v>
      </c>
      <c r="F226" s="102">
        <f t="shared" si="39"/>
        <v>87449.934971431678</v>
      </c>
      <c r="G226" s="102">
        <f t="shared" si="40"/>
        <v>103406.42014354595</v>
      </c>
      <c r="H226" s="102">
        <f t="shared" si="41"/>
        <v>89042.238949684252</v>
      </c>
      <c r="I226" s="102">
        <f t="shared" si="42"/>
        <v>83723.577966509183</v>
      </c>
      <c r="J226" s="102">
        <f t="shared" si="43"/>
        <v>94353.351540660224</v>
      </c>
      <c r="K226" s="93"/>
      <c r="L226" s="93"/>
      <c r="M226" s="93"/>
      <c r="N226" s="93"/>
      <c r="O226" s="93"/>
    </row>
    <row r="227" spans="1:15" s="34" customFormat="1" x14ac:dyDescent="0.3">
      <c r="A227" s="101">
        <v>48</v>
      </c>
      <c r="B227" s="102">
        <f t="shared" si="35"/>
        <v>106108.22486061986</v>
      </c>
      <c r="C227" s="102">
        <f t="shared" si="36"/>
        <v>93084.844563046732</v>
      </c>
      <c r="D227" s="102">
        <f t="shared" si="37"/>
        <v>115221.78322366571</v>
      </c>
      <c r="E227" s="102">
        <f t="shared" si="38"/>
        <v>97645.440597285138</v>
      </c>
      <c r="F227" s="102">
        <f t="shared" si="39"/>
        <v>88502.360396355754</v>
      </c>
      <c r="G227" s="102">
        <f t="shared" si="40"/>
        <v>104770.91248702565</v>
      </c>
      <c r="H227" s="102">
        <f t="shared" si="41"/>
        <v>90044.875097549884</v>
      </c>
      <c r="I227" s="102">
        <f t="shared" si="42"/>
        <v>84585.655370051914</v>
      </c>
      <c r="J227" s="102">
        <f t="shared" si="43"/>
        <v>95414.161573440229</v>
      </c>
      <c r="K227" s="93"/>
      <c r="L227" s="93"/>
      <c r="M227" s="93"/>
      <c r="N227" s="93"/>
      <c r="O227" s="93"/>
    </row>
    <row r="228" spans="1:15" s="34" customFormat="1" x14ac:dyDescent="0.3">
      <c r="A228" s="101">
        <v>49</v>
      </c>
      <c r="B228" s="102">
        <f t="shared" si="35"/>
        <v>107619.51412854943</v>
      </c>
      <c r="C228" s="102">
        <f t="shared" si="36"/>
        <v>94297.988408110192</v>
      </c>
      <c r="D228" s="102">
        <f t="shared" si="37"/>
        <v>116869.25204082542</v>
      </c>
      <c r="E228" s="102">
        <f t="shared" si="38"/>
        <v>98915.17185972858</v>
      </c>
      <c r="F228" s="102">
        <f t="shared" si="39"/>
        <v>89554.785821279831</v>
      </c>
      <c r="G228" s="102">
        <f t="shared" si="40"/>
        <v>106135.40483050534</v>
      </c>
      <c r="H228" s="102">
        <f t="shared" si="41"/>
        <v>91047.511245415517</v>
      </c>
      <c r="I228" s="102">
        <f t="shared" si="42"/>
        <v>85447.732773594675</v>
      </c>
      <c r="J228" s="102">
        <f t="shared" si="43"/>
        <v>96474.971606220235</v>
      </c>
      <c r="K228" s="93"/>
      <c r="L228" s="93"/>
      <c r="M228" s="93"/>
      <c r="N228" s="93"/>
      <c r="O228" s="93"/>
    </row>
    <row r="229" spans="1:15" s="34" customFormat="1" x14ac:dyDescent="0.3">
      <c r="A229" s="101">
        <v>50</v>
      </c>
      <c r="B229" s="102">
        <f t="shared" si="35"/>
        <v>109130.80339647901</v>
      </c>
      <c r="C229" s="102">
        <f t="shared" si="36"/>
        <v>95511.132253173681</v>
      </c>
      <c r="D229" s="102">
        <f t="shared" si="37"/>
        <v>118516.72085798511</v>
      </c>
      <c r="E229" s="102">
        <f t="shared" si="38"/>
        <v>100184.90312217202</v>
      </c>
      <c r="F229" s="102">
        <f t="shared" si="39"/>
        <v>90607.211246203922</v>
      </c>
      <c r="G229" s="102">
        <f t="shared" si="40"/>
        <v>107499.89717398505</v>
      </c>
      <c r="H229" s="102">
        <f t="shared" si="41"/>
        <v>92050.147393281135</v>
      </c>
      <c r="I229" s="102">
        <f t="shared" si="42"/>
        <v>86309.81017713742</v>
      </c>
      <c r="J229" s="102">
        <f t="shared" si="43"/>
        <v>97535.781639000241</v>
      </c>
      <c r="K229" s="93"/>
      <c r="L229" s="93"/>
      <c r="M229" s="93"/>
      <c r="N229" s="93"/>
      <c r="O229" s="93"/>
    </row>
    <row r="230" spans="1:15" s="34" customFormat="1" x14ac:dyDescent="0.3"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1:15" s="34" customFormat="1" x14ac:dyDescent="0.3"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1:15" s="34" customFormat="1" x14ac:dyDescent="0.3"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1:15" s="34" customFormat="1" x14ac:dyDescent="0.3"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1:15" s="34" customFormat="1" x14ac:dyDescent="0.3"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1:15" s="34" customFormat="1" x14ac:dyDescent="0.3"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1:15" s="34" customFormat="1" x14ac:dyDescent="0.3"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1:15" s="34" customFormat="1" x14ac:dyDescent="0.3"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1:15" s="34" customFormat="1" x14ac:dyDescent="0.3"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1:15" s="34" customFormat="1" x14ac:dyDescent="0.3"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1:15" s="34" customFormat="1" x14ac:dyDescent="0.3"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1:15" s="34" customFormat="1" x14ac:dyDescent="0.3"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1:15" s="34" customFormat="1" x14ac:dyDescent="0.3"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1:15" s="34" customFormat="1" x14ac:dyDescent="0.3"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1:15" s="34" customFormat="1" x14ac:dyDescent="0.3"/>
    <row r="245" spans="1:15" s="34" customFormat="1" x14ac:dyDescent="0.3"/>
    <row r="246" spans="1:15" x14ac:dyDescent="0.3">
      <c r="A246" s="94" t="s">
        <v>11</v>
      </c>
      <c r="B246" s="94"/>
      <c r="C246" s="94"/>
      <c r="D246" s="94"/>
      <c r="E246" s="94"/>
      <c r="F246" s="94"/>
      <c r="G246" s="94"/>
      <c r="H246" s="94"/>
      <c r="I246" s="94"/>
      <c r="J246" s="94"/>
    </row>
    <row r="247" spans="1:15" x14ac:dyDescent="0.3">
      <c r="A247" s="95" t="s">
        <v>58</v>
      </c>
      <c r="B247" s="95" t="s">
        <v>47</v>
      </c>
      <c r="C247" s="95" t="s">
        <v>48</v>
      </c>
      <c r="D247" s="95" t="s">
        <v>49</v>
      </c>
      <c r="E247" s="95" t="s">
        <v>50</v>
      </c>
      <c r="F247" s="95" t="s">
        <v>51</v>
      </c>
      <c r="G247" s="95" t="s">
        <v>52</v>
      </c>
      <c r="H247" s="95" t="s">
        <v>53</v>
      </c>
      <c r="I247" s="95" t="s">
        <v>54</v>
      </c>
      <c r="J247" s="95" t="s">
        <v>55</v>
      </c>
    </row>
    <row r="248" spans="1:15" x14ac:dyDescent="0.3">
      <c r="A248" s="95">
        <v>-24</v>
      </c>
      <c r="B248" s="95">
        <f t="shared" ref="B248:B287" si="44">IF($A248&lt;0,ABS($A248-$D$2),$D$2-$A248)/$E$102</f>
        <v>10.323875730330066</v>
      </c>
      <c r="C248" s="95">
        <f t="shared" ref="C248:C287" si="45">IF($A248&lt;0,ABS($A248-$D$2),$D$2-$A248)/$E$103</f>
        <v>8.2871933025820148</v>
      </c>
      <c r="D248" s="95">
        <f t="shared" ref="D248:D287" si="46">IF($A248&lt;0,ABS($A248-$D$2),$D$2-$A248)/$E$104</f>
        <v>11.254141545815003</v>
      </c>
      <c r="E248" s="95">
        <f t="shared" ref="E248:E287" si="47">IF($A248&lt;0,ABS($A248-$D$2),$D$2-$A248)/$E$105</f>
        <v>8.6737516387842106</v>
      </c>
      <c r="F248" s="95">
        <f t="shared" ref="F248:F287" si="48">IF($A248&lt;0,ABS($A248-$D$2),$D$2-$A248)/$E$106</f>
        <v>7.1892982587250573</v>
      </c>
      <c r="G248" s="95">
        <f t="shared" ref="G248:G287" si="49">IF($A248&lt;0,ABS($A248-$D$2),$D$2-$A248)/$E$107</f>
        <v>9.3210808069654529</v>
      </c>
      <c r="H248" s="95">
        <f t="shared" ref="H248:H287" si="50">IF($A248&lt;0,ABS($A248-$D$2),$D$2-$A248)/$E$108</f>
        <v>6.849179182938423</v>
      </c>
      <c r="I248" s="95">
        <f t="shared" ref="I248:I287" si="51">IF($A248&lt;0,ABS($A248-$D$2),$D$2-$A248)/$E$109</f>
        <v>5.8889983360324107</v>
      </c>
      <c r="J248" s="95">
        <f t="shared" ref="J248:J287" si="52">IF($A248&lt;0,ABS($A248-$D$2),$D$2-$A248)/$E$110</f>
        <v>7.2465749504802526</v>
      </c>
    </row>
    <row r="249" spans="1:15" x14ac:dyDescent="0.3">
      <c r="A249" s="95">
        <v>-23</v>
      </c>
      <c r="B249" s="95">
        <f t="shared" si="44"/>
        <v>10.089242191004383</v>
      </c>
      <c r="C249" s="95">
        <f t="shared" si="45"/>
        <v>8.0988480002506051</v>
      </c>
      <c r="D249" s="95">
        <f t="shared" si="46"/>
        <v>10.998365601591935</v>
      </c>
      <c r="E249" s="95">
        <f t="shared" si="47"/>
        <v>8.4766209197209346</v>
      </c>
      <c r="F249" s="95">
        <f t="shared" si="48"/>
        <v>7.0259051164813062</v>
      </c>
      <c r="G249" s="95">
        <f t="shared" si="49"/>
        <v>9.1092380613526025</v>
      </c>
      <c r="H249" s="95">
        <f t="shared" si="50"/>
        <v>6.693516019689822</v>
      </c>
      <c r="I249" s="95">
        <f t="shared" si="51"/>
        <v>5.7551574647589465</v>
      </c>
      <c r="J249" s="95">
        <f t="shared" si="52"/>
        <v>7.081880065242065</v>
      </c>
    </row>
    <row r="250" spans="1:15" x14ac:dyDescent="0.3">
      <c r="A250" s="95">
        <v>-22</v>
      </c>
      <c r="B250" s="95">
        <f t="shared" si="44"/>
        <v>9.8546086516786993</v>
      </c>
      <c r="C250" s="95">
        <f t="shared" si="45"/>
        <v>7.9105026979191955</v>
      </c>
      <c r="D250" s="95">
        <f t="shared" si="46"/>
        <v>10.742589657368866</v>
      </c>
      <c r="E250" s="95">
        <f t="shared" si="47"/>
        <v>8.2794902006576567</v>
      </c>
      <c r="F250" s="95">
        <f t="shared" si="48"/>
        <v>6.8625119742375542</v>
      </c>
      <c r="G250" s="95">
        <f t="shared" si="49"/>
        <v>8.8973953157397503</v>
      </c>
      <c r="H250" s="95">
        <f t="shared" si="50"/>
        <v>6.5378528564412219</v>
      </c>
      <c r="I250" s="95">
        <f t="shared" si="51"/>
        <v>5.6213165934854823</v>
      </c>
      <c r="J250" s="95">
        <f t="shared" si="52"/>
        <v>6.9171851800038775</v>
      </c>
    </row>
    <row r="251" spans="1:15" x14ac:dyDescent="0.3">
      <c r="A251" s="95">
        <v>-21</v>
      </c>
      <c r="B251" s="95">
        <f t="shared" si="44"/>
        <v>9.6199751123530159</v>
      </c>
      <c r="C251" s="95">
        <f t="shared" si="45"/>
        <v>7.7221573955877858</v>
      </c>
      <c r="D251" s="95">
        <f t="shared" si="46"/>
        <v>10.486813713145798</v>
      </c>
      <c r="E251" s="95">
        <f t="shared" si="47"/>
        <v>8.0823594815943789</v>
      </c>
      <c r="F251" s="95">
        <f t="shared" si="48"/>
        <v>6.6991188319938031</v>
      </c>
      <c r="G251" s="95">
        <f t="shared" si="49"/>
        <v>8.6855525701268999</v>
      </c>
      <c r="H251" s="95">
        <f t="shared" si="50"/>
        <v>6.382189693192621</v>
      </c>
      <c r="I251" s="95">
        <f t="shared" si="51"/>
        <v>5.487475722212019</v>
      </c>
      <c r="J251" s="95">
        <f t="shared" si="52"/>
        <v>6.75249029476569</v>
      </c>
    </row>
    <row r="252" spans="1:15" x14ac:dyDescent="0.3">
      <c r="A252" s="95">
        <v>-20</v>
      </c>
      <c r="B252" s="95">
        <f t="shared" si="44"/>
        <v>9.3853415730273326</v>
      </c>
      <c r="C252" s="95">
        <f t="shared" si="45"/>
        <v>7.533812093256377</v>
      </c>
      <c r="D252" s="95">
        <f t="shared" si="46"/>
        <v>10.231037768922731</v>
      </c>
      <c r="E252" s="95">
        <f t="shared" si="47"/>
        <v>7.8852287625311011</v>
      </c>
      <c r="F252" s="95">
        <f t="shared" si="48"/>
        <v>6.535725689750052</v>
      </c>
      <c r="G252" s="95">
        <f t="shared" si="49"/>
        <v>8.4737098245140494</v>
      </c>
      <c r="H252" s="95">
        <f t="shared" si="50"/>
        <v>6.2265265299440209</v>
      </c>
      <c r="I252" s="95">
        <f t="shared" si="51"/>
        <v>5.3536348509385547</v>
      </c>
      <c r="J252" s="95">
        <f t="shared" si="52"/>
        <v>6.5877954095275024</v>
      </c>
    </row>
    <row r="253" spans="1:15" x14ac:dyDescent="0.3">
      <c r="A253" s="95">
        <v>-19</v>
      </c>
      <c r="B253" s="95">
        <f t="shared" si="44"/>
        <v>9.1507080337016493</v>
      </c>
      <c r="C253" s="95">
        <f t="shared" si="45"/>
        <v>7.3454667909249673</v>
      </c>
      <c r="D253" s="95">
        <f t="shared" si="46"/>
        <v>9.9752618246996612</v>
      </c>
      <c r="E253" s="95">
        <f t="shared" si="47"/>
        <v>7.6880980434678232</v>
      </c>
      <c r="F253" s="95">
        <f t="shared" si="48"/>
        <v>6.3723325475063008</v>
      </c>
      <c r="G253" s="95">
        <f t="shared" si="49"/>
        <v>8.2618670789011972</v>
      </c>
      <c r="H253" s="95">
        <f t="shared" si="50"/>
        <v>6.0708633666954199</v>
      </c>
      <c r="I253" s="95">
        <f t="shared" si="51"/>
        <v>5.2197939796650914</v>
      </c>
      <c r="J253" s="95">
        <f t="shared" si="52"/>
        <v>6.4231005242893149</v>
      </c>
    </row>
    <row r="254" spans="1:15" x14ac:dyDescent="0.3">
      <c r="A254" s="95">
        <v>-18</v>
      </c>
      <c r="B254" s="95">
        <f t="shared" si="44"/>
        <v>8.916074494375966</v>
      </c>
      <c r="C254" s="95">
        <f t="shared" si="45"/>
        <v>7.1571214885935577</v>
      </c>
      <c r="D254" s="95">
        <f t="shared" si="46"/>
        <v>9.7194858804765936</v>
      </c>
      <c r="E254" s="95">
        <f t="shared" si="47"/>
        <v>7.4909673244045463</v>
      </c>
      <c r="F254" s="95">
        <f t="shared" si="48"/>
        <v>6.2089394052625497</v>
      </c>
      <c r="G254" s="95">
        <f t="shared" si="49"/>
        <v>8.0500243332883468</v>
      </c>
      <c r="H254" s="95">
        <f t="shared" si="50"/>
        <v>5.9152002034468198</v>
      </c>
      <c r="I254" s="95">
        <f t="shared" si="51"/>
        <v>5.0859531083916272</v>
      </c>
      <c r="J254" s="95">
        <f t="shared" si="52"/>
        <v>6.2584056390511273</v>
      </c>
    </row>
    <row r="255" spans="1:15" x14ac:dyDescent="0.3">
      <c r="A255" s="95">
        <v>-17</v>
      </c>
      <c r="B255" s="95">
        <f t="shared" si="44"/>
        <v>8.6814409550502827</v>
      </c>
      <c r="C255" s="95">
        <f t="shared" si="45"/>
        <v>6.968776186262148</v>
      </c>
      <c r="D255" s="95">
        <f t="shared" si="46"/>
        <v>9.463709936253526</v>
      </c>
      <c r="E255" s="95">
        <f t="shared" si="47"/>
        <v>7.2938366053412684</v>
      </c>
      <c r="F255" s="95">
        <f t="shared" si="48"/>
        <v>6.0455462630187977</v>
      </c>
      <c r="G255" s="95">
        <f t="shared" si="49"/>
        <v>7.8381815876754946</v>
      </c>
      <c r="H255" s="95">
        <f t="shared" si="50"/>
        <v>5.7595370401982189</v>
      </c>
      <c r="I255" s="95">
        <f t="shared" si="51"/>
        <v>4.952112237118163</v>
      </c>
      <c r="J255" s="95">
        <f t="shared" si="52"/>
        <v>6.0937107538129398</v>
      </c>
    </row>
    <row r="256" spans="1:15" x14ac:dyDescent="0.3">
      <c r="A256" s="95">
        <v>-16</v>
      </c>
      <c r="B256" s="95">
        <f t="shared" si="44"/>
        <v>8.4468074157245994</v>
      </c>
      <c r="C256" s="95">
        <f t="shared" si="45"/>
        <v>6.7804308839307392</v>
      </c>
      <c r="D256" s="95">
        <f t="shared" si="46"/>
        <v>9.2079339920304566</v>
      </c>
      <c r="E256" s="95">
        <f t="shared" si="47"/>
        <v>7.0967058862779915</v>
      </c>
      <c r="F256" s="95">
        <f t="shared" si="48"/>
        <v>5.8821531207750466</v>
      </c>
      <c r="G256" s="95">
        <f t="shared" si="49"/>
        <v>7.6263388420626441</v>
      </c>
      <c r="H256" s="95">
        <f t="shared" si="50"/>
        <v>5.6038738769496188</v>
      </c>
      <c r="I256" s="95">
        <f t="shared" si="51"/>
        <v>4.8182713658446996</v>
      </c>
      <c r="J256" s="95">
        <f t="shared" si="52"/>
        <v>5.9290158685747523</v>
      </c>
    </row>
    <row r="257" spans="1:10" x14ac:dyDescent="0.3">
      <c r="A257" s="95">
        <v>-15</v>
      </c>
      <c r="B257" s="95">
        <f t="shared" si="44"/>
        <v>8.2121738763989161</v>
      </c>
      <c r="C257" s="95">
        <f t="shared" si="45"/>
        <v>6.5920855815993296</v>
      </c>
      <c r="D257" s="95">
        <f t="shared" si="46"/>
        <v>8.952158047807389</v>
      </c>
      <c r="E257" s="95">
        <f t="shared" si="47"/>
        <v>6.8995751672147136</v>
      </c>
      <c r="F257" s="95">
        <f t="shared" si="48"/>
        <v>5.7187599785312955</v>
      </c>
      <c r="G257" s="95">
        <f t="shared" si="49"/>
        <v>7.4144960964497928</v>
      </c>
      <c r="H257" s="95">
        <f t="shared" si="50"/>
        <v>5.4482107137010178</v>
      </c>
      <c r="I257" s="95">
        <f t="shared" si="51"/>
        <v>4.6844304945712354</v>
      </c>
      <c r="J257" s="95">
        <f t="shared" si="52"/>
        <v>5.7643209833365647</v>
      </c>
    </row>
    <row r="258" spans="1:10" x14ac:dyDescent="0.3">
      <c r="A258" s="95">
        <v>-14</v>
      </c>
      <c r="B258" s="95">
        <f t="shared" si="44"/>
        <v>7.9775403370732327</v>
      </c>
      <c r="C258" s="95">
        <f t="shared" si="45"/>
        <v>6.4037402792679199</v>
      </c>
      <c r="D258" s="95">
        <f t="shared" si="46"/>
        <v>8.6963821035843196</v>
      </c>
      <c r="E258" s="95">
        <f t="shared" si="47"/>
        <v>6.7024444481514358</v>
      </c>
      <c r="F258" s="95">
        <f t="shared" si="48"/>
        <v>5.5553668362875444</v>
      </c>
      <c r="G258" s="95">
        <f t="shared" si="49"/>
        <v>7.2026533508369415</v>
      </c>
      <c r="H258" s="95">
        <f t="shared" si="50"/>
        <v>5.2925475504524178</v>
      </c>
      <c r="I258" s="95">
        <f t="shared" si="51"/>
        <v>4.5505896232977721</v>
      </c>
      <c r="J258" s="95">
        <f t="shared" si="52"/>
        <v>5.5996260980983772</v>
      </c>
    </row>
    <row r="259" spans="1:10" x14ac:dyDescent="0.3">
      <c r="A259" s="95">
        <v>-13</v>
      </c>
      <c r="B259" s="95">
        <f t="shared" si="44"/>
        <v>7.7429067977475494</v>
      </c>
      <c r="C259" s="95">
        <f t="shared" si="45"/>
        <v>6.2153949769365111</v>
      </c>
      <c r="D259" s="95">
        <f t="shared" si="46"/>
        <v>8.440606159361252</v>
      </c>
      <c r="E259" s="95">
        <f t="shared" si="47"/>
        <v>6.5053137290881589</v>
      </c>
      <c r="F259" s="95">
        <f t="shared" si="48"/>
        <v>5.3919736940437932</v>
      </c>
      <c r="G259" s="95">
        <f t="shared" si="49"/>
        <v>6.9908106052240901</v>
      </c>
      <c r="H259" s="95">
        <f t="shared" si="50"/>
        <v>5.1368843872038168</v>
      </c>
      <c r="I259" s="95">
        <f t="shared" si="51"/>
        <v>4.4167487520243078</v>
      </c>
      <c r="J259" s="95">
        <f t="shared" si="52"/>
        <v>5.4349312128601897</v>
      </c>
    </row>
    <row r="260" spans="1:10" x14ac:dyDescent="0.3">
      <c r="A260" s="95">
        <v>-12</v>
      </c>
      <c r="B260" s="95">
        <f t="shared" si="44"/>
        <v>7.5082732584218661</v>
      </c>
      <c r="C260" s="95">
        <f t="shared" si="45"/>
        <v>6.0270496746051014</v>
      </c>
      <c r="D260" s="95">
        <f t="shared" si="46"/>
        <v>8.1848302151381844</v>
      </c>
      <c r="E260" s="95">
        <f t="shared" si="47"/>
        <v>6.308183010024881</v>
      </c>
      <c r="F260" s="95">
        <f t="shared" si="48"/>
        <v>5.2285805518000412</v>
      </c>
      <c r="G260" s="95">
        <f t="shared" si="49"/>
        <v>6.7789678596112388</v>
      </c>
      <c r="H260" s="95">
        <f t="shared" si="50"/>
        <v>4.9812212239552167</v>
      </c>
      <c r="I260" s="95">
        <f t="shared" si="51"/>
        <v>4.2829078807508436</v>
      </c>
      <c r="J260" s="95">
        <f t="shared" si="52"/>
        <v>5.2702363276220021</v>
      </c>
    </row>
    <row r="261" spans="1:10" x14ac:dyDescent="0.3">
      <c r="A261" s="95">
        <v>-11</v>
      </c>
      <c r="B261" s="95">
        <f t="shared" si="44"/>
        <v>7.2736397190961828</v>
      </c>
      <c r="C261" s="95">
        <f t="shared" si="45"/>
        <v>5.8387043722736918</v>
      </c>
      <c r="D261" s="95">
        <f t="shared" si="46"/>
        <v>7.9290542709151159</v>
      </c>
      <c r="E261" s="95">
        <f t="shared" si="47"/>
        <v>6.1110522909616032</v>
      </c>
      <c r="F261" s="95">
        <f t="shared" si="48"/>
        <v>5.0651874095562901</v>
      </c>
      <c r="G261" s="95">
        <f t="shared" si="49"/>
        <v>6.5671251139983875</v>
      </c>
      <c r="H261" s="95">
        <f t="shared" si="50"/>
        <v>4.8255580607066157</v>
      </c>
      <c r="I261" s="95">
        <f t="shared" si="51"/>
        <v>4.1490670094773803</v>
      </c>
      <c r="J261" s="95">
        <f t="shared" si="52"/>
        <v>5.1055414423838146</v>
      </c>
    </row>
    <row r="262" spans="1:10" x14ac:dyDescent="0.3">
      <c r="A262" s="95">
        <v>-10</v>
      </c>
      <c r="B262" s="95">
        <f t="shared" si="44"/>
        <v>7.0390061797704995</v>
      </c>
      <c r="C262" s="95">
        <f t="shared" si="45"/>
        <v>5.6503590699422821</v>
      </c>
      <c r="D262" s="95">
        <f t="shared" si="46"/>
        <v>7.6732783266920475</v>
      </c>
      <c r="E262" s="95">
        <f t="shared" si="47"/>
        <v>5.9139215718983262</v>
      </c>
      <c r="F262" s="95">
        <f t="shared" si="48"/>
        <v>4.901794267312539</v>
      </c>
      <c r="G262" s="95">
        <f t="shared" si="49"/>
        <v>6.3552823683855362</v>
      </c>
      <c r="H262" s="95">
        <f t="shared" si="50"/>
        <v>4.6698948974580157</v>
      </c>
      <c r="I262" s="95">
        <f t="shared" si="51"/>
        <v>4.0152261382039161</v>
      </c>
      <c r="J262" s="95">
        <f t="shared" si="52"/>
        <v>4.940846557145627</v>
      </c>
    </row>
    <row r="263" spans="1:10" x14ac:dyDescent="0.3">
      <c r="A263" s="95">
        <v>-9</v>
      </c>
      <c r="B263" s="95">
        <f t="shared" si="44"/>
        <v>6.8043726404448162</v>
      </c>
      <c r="C263" s="95">
        <f t="shared" si="45"/>
        <v>5.4620137676108733</v>
      </c>
      <c r="D263" s="95">
        <f t="shared" si="46"/>
        <v>7.417502382468979</v>
      </c>
      <c r="E263" s="95">
        <f t="shared" si="47"/>
        <v>5.7167908528350484</v>
      </c>
      <c r="F263" s="95">
        <f t="shared" si="48"/>
        <v>4.7384011250687879</v>
      </c>
      <c r="G263" s="95">
        <f t="shared" si="49"/>
        <v>6.1434396227726848</v>
      </c>
      <c r="H263" s="95">
        <f t="shared" si="50"/>
        <v>4.5142317342094147</v>
      </c>
      <c r="I263" s="95">
        <f t="shared" si="51"/>
        <v>3.8813852669304523</v>
      </c>
      <c r="J263" s="95">
        <f t="shared" si="52"/>
        <v>4.7761516719074395</v>
      </c>
    </row>
    <row r="264" spans="1:10" x14ac:dyDescent="0.3">
      <c r="A264" s="95">
        <v>-8</v>
      </c>
      <c r="B264" s="95">
        <f t="shared" si="44"/>
        <v>6.5697391011191328</v>
      </c>
      <c r="C264" s="95">
        <f t="shared" si="45"/>
        <v>5.2736684652794636</v>
      </c>
      <c r="D264" s="95">
        <f t="shared" si="46"/>
        <v>7.1617264382459105</v>
      </c>
      <c r="E264" s="95">
        <f t="shared" si="47"/>
        <v>5.5196601337717706</v>
      </c>
      <c r="F264" s="95">
        <f t="shared" si="48"/>
        <v>4.5750079828250367</v>
      </c>
      <c r="G264" s="95">
        <f t="shared" si="49"/>
        <v>5.9315968771598344</v>
      </c>
      <c r="H264" s="95">
        <f t="shared" si="50"/>
        <v>4.3585685709608146</v>
      </c>
      <c r="I264" s="95">
        <f t="shared" si="51"/>
        <v>3.7475443956569885</v>
      </c>
      <c r="J264" s="95">
        <f t="shared" si="52"/>
        <v>4.611456786669252</v>
      </c>
    </row>
    <row r="265" spans="1:10" x14ac:dyDescent="0.3">
      <c r="A265" s="95">
        <v>-7</v>
      </c>
      <c r="B265" s="95">
        <f t="shared" si="44"/>
        <v>6.3351055617934495</v>
      </c>
      <c r="C265" s="95">
        <f t="shared" si="45"/>
        <v>5.085323162948054</v>
      </c>
      <c r="D265" s="95">
        <f t="shared" si="46"/>
        <v>6.9059504940228429</v>
      </c>
      <c r="E265" s="95">
        <f t="shared" si="47"/>
        <v>5.3225294147084936</v>
      </c>
      <c r="F265" s="95">
        <f t="shared" si="48"/>
        <v>4.4116148405812847</v>
      </c>
      <c r="G265" s="95">
        <f t="shared" si="49"/>
        <v>5.7197541315469831</v>
      </c>
      <c r="H265" s="95">
        <f t="shared" si="50"/>
        <v>4.2029054077122137</v>
      </c>
      <c r="I265" s="95">
        <f t="shared" si="51"/>
        <v>3.6137035243835247</v>
      </c>
      <c r="J265" s="95">
        <f t="shared" si="52"/>
        <v>4.4467619014310644</v>
      </c>
    </row>
    <row r="266" spans="1:10" x14ac:dyDescent="0.3">
      <c r="A266" s="95">
        <v>-6</v>
      </c>
      <c r="B266" s="95">
        <f t="shared" si="44"/>
        <v>6.1004720224677662</v>
      </c>
      <c r="C266" s="95">
        <f t="shared" si="45"/>
        <v>4.8969778606166452</v>
      </c>
      <c r="D266" s="95">
        <f t="shared" si="46"/>
        <v>6.6501745497997744</v>
      </c>
      <c r="E266" s="95">
        <f t="shared" si="47"/>
        <v>5.1253986956452158</v>
      </c>
      <c r="F266" s="95">
        <f t="shared" si="48"/>
        <v>4.2482216983375336</v>
      </c>
      <c r="G266" s="95">
        <f t="shared" si="49"/>
        <v>5.5079113859341318</v>
      </c>
      <c r="H266" s="95">
        <f t="shared" si="50"/>
        <v>4.0472422444636136</v>
      </c>
      <c r="I266" s="95">
        <f t="shared" si="51"/>
        <v>3.4798626531100605</v>
      </c>
      <c r="J266" s="95">
        <f t="shared" si="52"/>
        <v>4.2820670161928769</v>
      </c>
    </row>
    <row r="267" spans="1:10" x14ac:dyDescent="0.3">
      <c r="A267" s="95">
        <v>-5</v>
      </c>
      <c r="B267" s="95">
        <f t="shared" si="44"/>
        <v>5.8658384831420829</v>
      </c>
      <c r="C267" s="95">
        <f t="shared" si="45"/>
        <v>4.7086325582852355</v>
      </c>
      <c r="D267" s="95">
        <f t="shared" si="46"/>
        <v>6.3943986055767059</v>
      </c>
      <c r="E267" s="95">
        <f t="shared" si="47"/>
        <v>4.9282679765819379</v>
      </c>
      <c r="F267" s="95">
        <f t="shared" si="48"/>
        <v>4.0848285560937825</v>
      </c>
      <c r="G267" s="95">
        <f t="shared" si="49"/>
        <v>5.2960686403212804</v>
      </c>
      <c r="H267" s="95">
        <f t="shared" si="50"/>
        <v>3.8915790812150131</v>
      </c>
      <c r="I267" s="95">
        <f t="shared" si="51"/>
        <v>3.3460217818365967</v>
      </c>
      <c r="J267" s="95">
        <f t="shared" si="52"/>
        <v>4.1173721309546893</v>
      </c>
    </row>
    <row r="268" spans="1:10" x14ac:dyDescent="0.3">
      <c r="A268" s="95">
        <v>-4</v>
      </c>
      <c r="B268" s="95">
        <f t="shared" si="44"/>
        <v>5.6312049438163996</v>
      </c>
      <c r="C268" s="95">
        <f t="shared" si="45"/>
        <v>4.5202872559538259</v>
      </c>
      <c r="D268" s="95">
        <f t="shared" si="46"/>
        <v>6.1386226613536383</v>
      </c>
      <c r="E268" s="95">
        <f t="shared" si="47"/>
        <v>4.731137257518661</v>
      </c>
      <c r="F268" s="95">
        <f t="shared" si="48"/>
        <v>3.9214354138500314</v>
      </c>
      <c r="G268" s="95">
        <f t="shared" si="49"/>
        <v>5.0842258947084291</v>
      </c>
      <c r="H268" s="95">
        <f t="shared" si="50"/>
        <v>3.7359159179664125</v>
      </c>
      <c r="I268" s="95">
        <f t="shared" si="51"/>
        <v>3.2121809105631329</v>
      </c>
      <c r="J268" s="95">
        <f t="shared" si="52"/>
        <v>3.9526772457165014</v>
      </c>
    </row>
    <row r="269" spans="1:10" x14ac:dyDescent="0.3">
      <c r="A269" s="95">
        <v>-3</v>
      </c>
      <c r="B269" s="95">
        <f t="shared" si="44"/>
        <v>5.3965714044907163</v>
      </c>
      <c r="C269" s="95">
        <f t="shared" si="45"/>
        <v>4.3319419536224162</v>
      </c>
      <c r="D269" s="95">
        <f t="shared" si="46"/>
        <v>5.8828467171305698</v>
      </c>
      <c r="E269" s="95">
        <f t="shared" si="47"/>
        <v>4.5340065384553832</v>
      </c>
      <c r="F269" s="95">
        <f t="shared" si="48"/>
        <v>3.7580422716062798</v>
      </c>
      <c r="G269" s="95">
        <f t="shared" si="49"/>
        <v>4.8723831490955778</v>
      </c>
      <c r="H269" s="95">
        <f t="shared" si="50"/>
        <v>3.580252754717812</v>
      </c>
      <c r="I269" s="95">
        <f t="shared" si="51"/>
        <v>3.0783400392896691</v>
      </c>
      <c r="J269" s="95">
        <f t="shared" si="52"/>
        <v>3.7879823604783138</v>
      </c>
    </row>
    <row r="270" spans="1:10" x14ac:dyDescent="0.3">
      <c r="A270" s="95">
        <v>-2</v>
      </c>
      <c r="B270" s="95">
        <f t="shared" si="44"/>
        <v>5.1619378651650329</v>
      </c>
      <c r="C270" s="95">
        <f t="shared" si="45"/>
        <v>4.1435966512910074</v>
      </c>
      <c r="D270" s="95">
        <f t="shared" si="46"/>
        <v>5.6270707729075014</v>
      </c>
      <c r="E270" s="95">
        <f t="shared" si="47"/>
        <v>4.3368758193921053</v>
      </c>
      <c r="F270" s="95">
        <f t="shared" si="48"/>
        <v>3.5946491293625287</v>
      </c>
      <c r="G270" s="95">
        <f t="shared" si="49"/>
        <v>4.6605404034827265</v>
      </c>
      <c r="H270" s="95">
        <f t="shared" si="50"/>
        <v>3.4245895914692115</v>
      </c>
      <c r="I270" s="95">
        <f t="shared" si="51"/>
        <v>2.9444991680162054</v>
      </c>
      <c r="J270" s="95">
        <f t="shared" si="52"/>
        <v>3.6232874752401263</v>
      </c>
    </row>
    <row r="271" spans="1:10" x14ac:dyDescent="0.3">
      <c r="A271" s="95">
        <v>-1</v>
      </c>
      <c r="B271" s="95">
        <f t="shared" si="44"/>
        <v>4.9273043258393496</v>
      </c>
      <c r="C271" s="95">
        <f t="shared" si="45"/>
        <v>3.9552513489595977</v>
      </c>
      <c r="D271" s="95">
        <f t="shared" si="46"/>
        <v>5.3712948286844329</v>
      </c>
      <c r="E271" s="95">
        <f t="shared" si="47"/>
        <v>4.1397451003288284</v>
      </c>
      <c r="F271" s="95">
        <f t="shared" si="48"/>
        <v>3.4312559871187771</v>
      </c>
      <c r="G271" s="95">
        <f t="shared" si="49"/>
        <v>4.4486976578698751</v>
      </c>
      <c r="H271" s="95">
        <f t="shared" si="50"/>
        <v>3.268926428220611</v>
      </c>
      <c r="I271" s="95">
        <f t="shared" si="51"/>
        <v>2.8106582967427411</v>
      </c>
      <c r="J271" s="95">
        <f t="shared" si="52"/>
        <v>3.4585925900019387</v>
      </c>
    </row>
    <row r="272" spans="1:10" x14ac:dyDescent="0.3">
      <c r="A272" s="95">
        <v>0</v>
      </c>
      <c r="B272" s="95">
        <f t="shared" si="44"/>
        <v>4.6926707865136663</v>
      </c>
      <c r="C272" s="95">
        <f t="shared" si="45"/>
        <v>3.7669060466281885</v>
      </c>
      <c r="D272" s="95">
        <f t="shared" si="46"/>
        <v>5.1155188844613653</v>
      </c>
      <c r="E272" s="95">
        <f t="shared" si="47"/>
        <v>3.9426143812655505</v>
      </c>
      <c r="F272" s="95">
        <f t="shared" si="48"/>
        <v>3.267862844875026</v>
      </c>
      <c r="G272" s="95">
        <f t="shared" si="49"/>
        <v>4.2368549122570247</v>
      </c>
      <c r="H272" s="95">
        <f t="shared" si="50"/>
        <v>3.1132632649720104</v>
      </c>
      <c r="I272" s="95">
        <f t="shared" si="51"/>
        <v>2.6768174254692774</v>
      </c>
      <c r="J272" s="95">
        <f t="shared" si="52"/>
        <v>3.2938977047637512</v>
      </c>
    </row>
    <row r="273" spans="1:10" x14ac:dyDescent="0.3">
      <c r="A273" s="95">
        <v>1</v>
      </c>
      <c r="B273" s="95">
        <f t="shared" si="44"/>
        <v>4.458037247187983</v>
      </c>
      <c r="C273" s="95">
        <f t="shared" si="45"/>
        <v>3.5785607442967788</v>
      </c>
      <c r="D273" s="95">
        <f t="shared" si="46"/>
        <v>4.8597429402382968</v>
      </c>
      <c r="E273" s="95">
        <f t="shared" si="47"/>
        <v>3.7454836622022731</v>
      </c>
      <c r="F273" s="95">
        <f t="shared" si="48"/>
        <v>3.1044697026312749</v>
      </c>
      <c r="G273" s="95">
        <f t="shared" si="49"/>
        <v>4.0250121666441734</v>
      </c>
      <c r="H273" s="95">
        <f t="shared" si="50"/>
        <v>2.9576001017234099</v>
      </c>
      <c r="I273" s="95">
        <f t="shared" si="51"/>
        <v>2.5429765541958136</v>
      </c>
      <c r="J273" s="95">
        <f t="shared" si="52"/>
        <v>3.1292028195255637</v>
      </c>
    </row>
    <row r="274" spans="1:10" x14ac:dyDescent="0.3">
      <c r="A274" s="95">
        <v>2</v>
      </c>
      <c r="B274" s="95">
        <f t="shared" si="44"/>
        <v>4.2234037078622997</v>
      </c>
      <c r="C274" s="95">
        <f t="shared" si="45"/>
        <v>3.3902154419653696</v>
      </c>
      <c r="D274" s="95">
        <f t="shared" si="46"/>
        <v>4.6039669960152283</v>
      </c>
      <c r="E274" s="95">
        <f t="shared" si="47"/>
        <v>3.5483529431389957</v>
      </c>
      <c r="F274" s="95">
        <f t="shared" si="48"/>
        <v>2.9410765603875233</v>
      </c>
      <c r="G274" s="95">
        <f t="shared" si="49"/>
        <v>3.8131694210313221</v>
      </c>
      <c r="H274" s="95">
        <f t="shared" si="50"/>
        <v>2.8019369384748094</v>
      </c>
      <c r="I274" s="95">
        <f t="shared" si="51"/>
        <v>2.4091356829223498</v>
      </c>
      <c r="J274" s="95">
        <f t="shared" si="52"/>
        <v>2.9645079342873761</v>
      </c>
    </row>
    <row r="275" spans="1:10" x14ac:dyDescent="0.3">
      <c r="A275" s="95">
        <v>3</v>
      </c>
      <c r="B275" s="95">
        <f t="shared" si="44"/>
        <v>3.9887701685366164</v>
      </c>
      <c r="C275" s="95">
        <f t="shared" si="45"/>
        <v>3.2018701396339599</v>
      </c>
      <c r="D275" s="95">
        <f t="shared" si="46"/>
        <v>4.3481910517921598</v>
      </c>
      <c r="E275" s="95">
        <f t="shared" si="47"/>
        <v>3.3512222240757179</v>
      </c>
      <c r="F275" s="95">
        <f t="shared" si="48"/>
        <v>2.7776834181437722</v>
      </c>
      <c r="G275" s="95">
        <f t="shared" si="49"/>
        <v>3.6013266754184707</v>
      </c>
      <c r="H275" s="95">
        <f t="shared" si="50"/>
        <v>2.6462737752262089</v>
      </c>
      <c r="I275" s="95">
        <f t="shared" si="51"/>
        <v>2.275294811648886</v>
      </c>
      <c r="J275" s="95">
        <f t="shared" si="52"/>
        <v>2.7998130490491886</v>
      </c>
    </row>
    <row r="276" spans="1:10" x14ac:dyDescent="0.3">
      <c r="A276" s="95">
        <v>4</v>
      </c>
      <c r="B276" s="95">
        <f t="shared" si="44"/>
        <v>3.7541366292109331</v>
      </c>
      <c r="C276" s="95">
        <f t="shared" si="45"/>
        <v>3.0135248373025507</v>
      </c>
      <c r="D276" s="95">
        <f t="shared" si="46"/>
        <v>4.0924151075690922</v>
      </c>
      <c r="E276" s="95">
        <f t="shared" si="47"/>
        <v>3.1540915050124405</v>
      </c>
      <c r="F276" s="95">
        <f t="shared" si="48"/>
        <v>2.6142902759000206</v>
      </c>
      <c r="G276" s="95">
        <f t="shared" si="49"/>
        <v>3.3894839298056194</v>
      </c>
      <c r="H276" s="95">
        <f t="shared" si="50"/>
        <v>2.4906106119776084</v>
      </c>
      <c r="I276" s="95">
        <f t="shared" si="51"/>
        <v>2.1414539403754218</v>
      </c>
      <c r="J276" s="95">
        <f t="shared" si="52"/>
        <v>2.6351181638110011</v>
      </c>
    </row>
    <row r="277" spans="1:10" x14ac:dyDescent="0.3">
      <c r="A277" s="95">
        <v>5</v>
      </c>
      <c r="B277" s="95">
        <f t="shared" si="44"/>
        <v>3.5195030898852497</v>
      </c>
      <c r="C277" s="95">
        <f t="shared" si="45"/>
        <v>2.825179534971141</v>
      </c>
      <c r="D277" s="95">
        <f t="shared" si="46"/>
        <v>3.8366391633460237</v>
      </c>
      <c r="E277" s="95">
        <f t="shared" si="47"/>
        <v>2.9569607859491631</v>
      </c>
      <c r="F277" s="95">
        <f t="shared" si="48"/>
        <v>2.4508971336562695</v>
      </c>
      <c r="G277" s="95">
        <f t="shared" si="49"/>
        <v>3.1776411841927681</v>
      </c>
      <c r="H277" s="95">
        <f t="shared" si="50"/>
        <v>2.3349474487290078</v>
      </c>
      <c r="I277" s="95">
        <f t="shared" si="51"/>
        <v>2.007613069101958</v>
      </c>
      <c r="J277" s="95">
        <f t="shared" si="52"/>
        <v>2.4704232785728135</v>
      </c>
    </row>
    <row r="278" spans="1:10" x14ac:dyDescent="0.3">
      <c r="A278" s="95">
        <v>6</v>
      </c>
      <c r="B278" s="95">
        <f t="shared" si="44"/>
        <v>3.2848695505595664</v>
      </c>
      <c r="C278" s="95">
        <f t="shared" si="45"/>
        <v>2.6368342326397318</v>
      </c>
      <c r="D278" s="95">
        <f t="shared" si="46"/>
        <v>3.5808632191229552</v>
      </c>
      <c r="E278" s="95">
        <f t="shared" si="47"/>
        <v>2.7598300668858853</v>
      </c>
      <c r="F278" s="95">
        <f t="shared" si="48"/>
        <v>2.2875039914125184</v>
      </c>
      <c r="G278" s="95">
        <f t="shared" si="49"/>
        <v>2.9657984385799172</v>
      </c>
      <c r="H278" s="95">
        <f t="shared" si="50"/>
        <v>2.1792842854804073</v>
      </c>
      <c r="I278" s="95">
        <f t="shared" si="51"/>
        <v>1.8737721978284942</v>
      </c>
      <c r="J278" s="95">
        <f t="shared" si="52"/>
        <v>2.305728393334626</v>
      </c>
    </row>
    <row r="279" spans="1:10" x14ac:dyDescent="0.3">
      <c r="A279" s="95">
        <v>7</v>
      </c>
      <c r="B279" s="95">
        <f t="shared" si="44"/>
        <v>3.0502360112338831</v>
      </c>
      <c r="C279" s="95">
        <f t="shared" si="45"/>
        <v>2.4484889303083226</v>
      </c>
      <c r="D279" s="95">
        <f t="shared" si="46"/>
        <v>3.3250872748998872</v>
      </c>
      <c r="E279" s="95">
        <f t="shared" si="47"/>
        <v>2.5626993478226079</v>
      </c>
      <c r="F279" s="95">
        <f t="shared" si="48"/>
        <v>2.1241108491687668</v>
      </c>
      <c r="G279" s="95">
        <f t="shared" si="49"/>
        <v>2.7539556929670659</v>
      </c>
      <c r="H279" s="95">
        <f t="shared" si="50"/>
        <v>2.0236211222318068</v>
      </c>
      <c r="I279" s="95">
        <f t="shared" si="51"/>
        <v>1.7399313265550302</v>
      </c>
      <c r="J279" s="95">
        <f t="shared" si="52"/>
        <v>2.1410335080964384</v>
      </c>
    </row>
    <row r="280" spans="1:10" x14ac:dyDescent="0.3">
      <c r="A280" s="95">
        <v>8</v>
      </c>
      <c r="B280" s="95">
        <f t="shared" si="44"/>
        <v>2.8156024719081998</v>
      </c>
      <c r="C280" s="95">
        <f t="shared" si="45"/>
        <v>2.2601436279769129</v>
      </c>
      <c r="D280" s="95">
        <f t="shared" si="46"/>
        <v>3.0693113306768192</v>
      </c>
      <c r="E280" s="95">
        <f t="shared" si="47"/>
        <v>2.3655686287593305</v>
      </c>
      <c r="F280" s="95">
        <f t="shared" si="48"/>
        <v>1.9607177069250157</v>
      </c>
      <c r="G280" s="95">
        <f t="shared" si="49"/>
        <v>2.5421129473542146</v>
      </c>
      <c r="H280" s="95">
        <f t="shared" si="50"/>
        <v>1.8679579589832063</v>
      </c>
      <c r="I280" s="95">
        <f t="shared" si="51"/>
        <v>1.6060904552815665</v>
      </c>
      <c r="J280" s="95">
        <f t="shared" si="52"/>
        <v>1.9763386228582507</v>
      </c>
    </row>
    <row r="281" spans="1:10" x14ac:dyDescent="0.3">
      <c r="A281" s="95">
        <v>9</v>
      </c>
      <c r="B281" s="95">
        <f t="shared" si="44"/>
        <v>2.5809689325825165</v>
      </c>
      <c r="C281" s="95">
        <f t="shared" si="45"/>
        <v>2.0717983256455037</v>
      </c>
      <c r="D281" s="95">
        <f t="shared" si="46"/>
        <v>2.8135353864537507</v>
      </c>
      <c r="E281" s="95">
        <f t="shared" si="47"/>
        <v>2.1684379096960527</v>
      </c>
      <c r="F281" s="95">
        <f t="shared" si="48"/>
        <v>1.7973245646812643</v>
      </c>
      <c r="G281" s="95">
        <f t="shared" si="49"/>
        <v>2.3302702017413632</v>
      </c>
      <c r="H281" s="95">
        <f t="shared" si="50"/>
        <v>1.7122947957346057</v>
      </c>
      <c r="I281" s="95">
        <f t="shared" si="51"/>
        <v>1.4722495840081027</v>
      </c>
      <c r="J281" s="95">
        <f t="shared" si="52"/>
        <v>1.8116437376200631</v>
      </c>
    </row>
    <row r="282" spans="1:10" x14ac:dyDescent="0.3">
      <c r="A282" s="95">
        <v>10</v>
      </c>
      <c r="B282" s="95">
        <f t="shared" si="44"/>
        <v>2.3463353932568332</v>
      </c>
      <c r="C282" s="95">
        <f t="shared" si="45"/>
        <v>1.8834530233140943</v>
      </c>
      <c r="D282" s="95">
        <f t="shared" si="46"/>
        <v>2.5577594422306826</v>
      </c>
      <c r="E282" s="95">
        <f t="shared" si="47"/>
        <v>1.9713071906327753</v>
      </c>
      <c r="F282" s="95">
        <f t="shared" si="48"/>
        <v>1.633931422437513</v>
      </c>
      <c r="G282" s="95">
        <f t="shared" si="49"/>
        <v>2.1184274561285124</v>
      </c>
      <c r="H282" s="95">
        <f t="shared" si="50"/>
        <v>1.5566316324860052</v>
      </c>
      <c r="I282" s="95">
        <f t="shared" si="51"/>
        <v>1.3384087127346387</v>
      </c>
      <c r="J282" s="95">
        <f t="shared" si="52"/>
        <v>1.6469488523818756</v>
      </c>
    </row>
    <row r="283" spans="1:10" x14ac:dyDescent="0.3">
      <c r="A283" s="95">
        <v>11</v>
      </c>
      <c r="B283" s="95">
        <f t="shared" si="44"/>
        <v>2.1117018539311498</v>
      </c>
      <c r="C283" s="95">
        <f t="shared" si="45"/>
        <v>1.6951077209826848</v>
      </c>
      <c r="D283" s="95">
        <f t="shared" si="46"/>
        <v>2.3019834980076141</v>
      </c>
      <c r="E283" s="95">
        <f t="shared" si="47"/>
        <v>1.7741764715694979</v>
      </c>
      <c r="F283" s="95">
        <f t="shared" si="48"/>
        <v>1.4705382801937616</v>
      </c>
      <c r="G283" s="95">
        <f t="shared" si="49"/>
        <v>1.906584710515661</v>
      </c>
      <c r="H283" s="95">
        <f t="shared" si="50"/>
        <v>1.4009684692374047</v>
      </c>
      <c r="I283" s="95">
        <f t="shared" si="51"/>
        <v>1.2045678414611749</v>
      </c>
      <c r="J283" s="95">
        <f t="shared" si="52"/>
        <v>1.4822539671436881</v>
      </c>
    </row>
    <row r="284" spans="1:10" x14ac:dyDescent="0.3">
      <c r="A284" s="95">
        <v>12</v>
      </c>
      <c r="B284" s="95">
        <f t="shared" si="44"/>
        <v>1.8770683146054665</v>
      </c>
      <c r="C284" s="95">
        <f t="shared" si="45"/>
        <v>1.5067624186512754</v>
      </c>
      <c r="D284" s="95">
        <f t="shared" si="46"/>
        <v>2.0462075537845461</v>
      </c>
      <c r="E284" s="95">
        <f t="shared" si="47"/>
        <v>1.5770457525062203</v>
      </c>
      <c r="F284" s="95">
        <f t="shared" si="48"/>
        <v>1.3071451379500103</v>
      </c>
      <c r="G284" s="95">
        <f t="shared" si="49"/>
        <v>1.6947419649028097</v>
      </c>
      <c r="H284" s="95">
        <f t="shared" si="50"/>
        <v>1.2453053059888042</v>
      </c>
      <c r="I284" s="95">
        <f t="shared" si="51"/>
        <v>1.0707269701877109</v>
      </c>
      <c r="J284" s="95">
        <f t="shared" si="52"/>
        <v>1.3175590819055005</v>
      </c>
    </row>
    <row r="285" spans="1:10" x14ac:dyDescent="0.3">
      <c r="A285" s="95">
        <v>13</v>
      </c>
      <c r="B285" s="95">
        <f t="shared" si="44"/>
        <v>1.6424347752797832</v>
      </c>
      <c r="C285" s="95">
        <f t="shared" si="45"/>
        <v>1.3184171163198659</v>
      </c>
      <c r="D285" s="95">
        <f t="shared" si="46"/>
        <v>1.7904316095614776</v>
      </c>
      <c r="E285" s="95">
        <f t="shared" si="47"/>
        <v>1.3799150334429426</v>
      </c>
      <c r="F285" s="95">
        <f t="shared" si="48"/>
        <v>1.1437519957062592</v>
      </c>
      <c r="G285" s="95">
        <f t="shared" si="49"/>
        <v>1.4828992192899586</v>
      </c>
      <c r="H285" s="95">
        <f t="shared" si="50"/>
        <v>1.0896421427402037</v>
      </c>
      <c r="I285" s="95">
        <f t="shared" si="51"/>
        <v>0.93688609891424712</v>
      </c>
      <c r="J285" s="95">
        <f t="shared" si="52"/>
        <v>1.152864196667313</v>
      </c>
    </row>
    <row r="286" spans="1:10" x14ac:dyDescent="0.3">
      <c r="A286" s="95">
        <v>14</v>
      </c>
      <c r="B286" s="95">
        <f t="shared" si="44"/>
        <v>1.4078012359540999</v>
      </c>
      <c r="C286" s="95">
        <f t="shared" si="45"/>
        <v>1.1300718139884565</v>
      </c>
      <c r="D286" s="95">
        <f t="shared" si="46"/>
        <v>1.5346556653384096</v>
      </c>
      <c r="E286" s="95">
        <f t="shared" si="47"/>
        <v>1.1827843143796652</v>
      </c>
      <c r="F286" s="95">
        <f t="shared" si="48"/>
        <v>0.98035885346250784</v>
      </c>
      <c r="G286" s="95">
        <f t="shared" si="49"/>
        <v>1.2710564736771073</v>
      </c>
      <c r="H286" s="95">
        <f t="shared" si="50"/>
        <v>0.93397897949160313</v>
      </c>
      <c r="I286" s="95">
        <f t="shared" si="51"/>
        <v>0.80304522764078323</v>
      </c>
      <c r="J286" s="95">
        <f t="shared" si="52"/>
        <v>0.98816931142912534</v>
      </c>
    </row>
    <row r="287" spans="1:10" x14ac:dyDescent="0.3">
      <c r="A287" s="95">
        <v>15</v>
      </c>
      <c r="B287" s="95">
        <f t="shared" si="44"/>
        <v>1.1731676966284166</v>
      </c>
      <c r="C287" s="95">
        <f t="shared" si="45"/>
        <v>0.94172651165704713</v>
      </c>
      <c r="D287" s="95">
        <f t="shared" si="46"/>
        <v>1.2788797211153413</v>
      </c>
      <c r="E287" s="95">
        <f t="shared" si="47"/>
        <v>0.98565359531638763</v>
      </c>
      <c r="F287" s="95">
        <f t="shared" si="48"/>
        <v>0.8169657112187565</v>
      </c>
      <c r="G287" s="95">
        <f t="shared" si="49"/>
        <v>1.0592137280642562</v>
      </c>
      <c r="H287" s="95">
        <f t="shared" si="50"/>
        <v>0.77831581624300261</v>
      </c>
      <c r="I287" s="95">
        <f t="shared" si="51"/>
        <v>0.66920435636731934</v>
      </c>
      <c r="J287" s="95">
        <f t="shared" si="52"/>
        <v>0.8234744261909378</v>
      </c>
    </row>
  </sheetData>
  <mergeCells count="15">
    <mergeCell ref="A1:B1"/>
    <mergeCell ref="A2:B2"/>
    <mergeCell ref="L18:N18"/>
    <mergeCell ref="L21:N21"/>
    <mergeCell ref="E146:E147"/>
    <mergeCell ref="K18:K19"/>
    <mergeCell ref="A11:B11"/>
    <mergeCell ref="A14:B14"/>
    <mergeCell ref="A13:B13"/>
    <mergeCell ref="A10:B10"/>
    <mergeCell ref="A8:B8"/>
    <mergeCell ref="A4:B4"/>
    <mergeCell ref="A5:B5"/>
    <mergeCell ref="A7:B7"/>
    <mergeCell ref="E8:F8"/>
  </mergeCells>
  <conditionalFormatting sqref="C102:C110">
    <cfRule type="colorScale" priority="5">
      <colorScale>
        <cfvo type="min"/>
        <cfvo type="max"/>
        <color rgb="FF92D050"/>
        <color rgb="FFFF0000"/>
      </colorScale>
    </cfRule>
    <cfRule type="colorScale" priority="6">
      <colorScale>
        <cfvo type="min"/>
        <cfvo type="max"/>
        <color rgb="FFFFFF00"/>
        <color rgb="FFFF0000"/>
      </colorScale>
    </cfRule>
  </conditionalFormatting>
  <conditionalFormatting sqref="G146:O146">
    <cfRule type="colorScale" priority="2">
      <colorScale>
        <cfvo type="min"/>
        <cfvo type="max"/>
        <color rgb="FF92D050"/>
        <color rgb="FFFF0000"/>
      </colorScale>
    </cfRule>
  </conditionalFormatting>
  <conditionalFormatting sqref="G147:O177 G230:O243 K178:O179 L180:O229">
    <cfRule type="colorScale" priority="7">
      <colorScale>
        <cfvo type="min"/>
        <cfvo type="max"/>
        <color rgb="FF92D050"/>
        <color rgb="FFFF0000"/>
      </colorScale>
    </cfRule>
  </conditionalFormatting>
  <conditionalFormatting sqref="D34:D42">
    <cfRule type="containsText" dxfId="0" priority="1" operator="containsText" text="WT">
      <formula>NOT(ISERROR(SEARCH("WT",D34)))</formula>
    </cfRule>
  </conditionalFormatting>
  <hyperlinks>
    <hyperlink ref="G1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4"/>
  <sheetViews>
    <sheetView topLeftCell="A70" zoomScale="115" zoomScaleNormal="115" workbookViewId="0">
      <selection activeCell="A94" sqref="A94"/>
    </sheetView>
  </sheetViews>
  <sheetFormatPr defaultRowHeight="14.4" x14ac:dyDescent="0.3"/>
  <cols>
    <col min="1" max="1" width="32.33203125" customWidth="1"/>
    <col min="2" max="2" width="32.44140625" customWidth="1"/>
    <col min="3" max="3" width="33" customWidth="1"/>
    <col min="4" max="4" width="17.6640625" style="34" customWidth="1"/>
    <col min="5" max="5" width="17.33203125" customWidth="1"/>
    <col min="6" max="6" width="22.33203125" customWidth="1"/>
    <col min="7" max="7" width="17.6640625" customWidth="1"/>
    <col min="8" max="8" width="11" customWidth="1"/>
    <col min="9" max="9" width="13.88671875" customWidth="1"/>
    <col min="10" max="10" width="13.44140625" customWidth="1"/>
    <col min="11" max="11" width="12.33203125" customWidth="1"/>
    <col min="12" max="12" width="11.5546875" bestFit="1" customWidth="1"/>
    <col min="13" max="13" width="13.33203125" customWidth="1"/>
    <col min="15" max="15" width="15.6640625" customWidth="1"/>
    <col min="16" max="16" width="16.44140625" customWidth="1"/>
    <col min="17" max="17" width="12.33203125" customWidth="1"/>
  </cols>
  <sheetData>
    <row r="1" spans="1:18" s="34" customFormat="1" ht="29.4" thickBot="1" x14ac:dyDescent="0.35">
      <c r="A1" s="34" t="s">
        <v>160</v>
      </c>
      <c r="B1" s="176" t="s">
        <v>161</v>
      </c>
    </row>
    <row r="2" spans="1:18" s="34" customFormat="1" ht="49.8" customHeight="1" thickBot="1" x14ac:dyDescent="0.35">
      <c r="A2" s="170" t="s">
        <v>166</v>
      </c>
      <c r="B2" s="171">
        <v>0.9</v>
      </c>
      <c r="C2" s="44" t="s">
        <v>91</v>
      </c>
      <c r="F2" s="170" t="s">
        <v>96</v>
      </c>
      <c r="G2" s="169">
        <v>12</v>
      </c>
    </row>
    <row r="3" spans="1:18" s="34" customFormat="1" ht="15" thickBot="1" x14ac:dyDescent="0.35">
      <c r="A3" s="170" t="s">
        <v>167</v>
      </c>
      <c r="B3" s="171">
        <v>0.8</v>
      </c>
      <c r="C3" s="44" t="s">
        <v>91</v>
      </c>
      <c r="D3" s="40"/>
    </row>
    <row r="4" spans="1:18" s="34" customFormat="1" ht="58.2" thickBot="1" x14ac:dyDescent="0.45">
      <c r="D4" s="40"/>
      <c r="F4" s="122" t="s">
        <v>168</v>
      </c>
      <c r="G4" s="123" t="s">
        <v>27</v>
      </c>
      <c r="H4" s="123" t="s">
        <v>8</v>
      </c>
      <c r="I4" s="124" t="s">
        <v>85</v>
      </c>
      <c r="J4" s="120"/>
      <c r="K4" s="122" t="s">
        <v>109</v>
      </c>
      <c r="L4" s="123" t="s">
        <v>27</v>
      </c>
      <c r="M4" s="123" t="s">
        <v>8</v>
      </c>
      <c r="N4" s="124" t="s">
        <v>85</v>
      </c>
    </row>
    <row r="5" spans="1:18" s="34" customFormat="1" ht="29.4" thickBot="1" x14ac:dyDescent="0.45">
      <c r="A5" s="170" t="s">
        <v>169</v>
      </c>
      <c r="B5" s="177">
        <f>G12</f>
        <v>0.1865081704513176</v>
      </c>
      <c r="C5" s="44" t="s">
        <v>91</v>
      </c>
      <c r="D5" s="40"/>
      <c r="F5" s="181"/>
      <c r="G5" s="182"/>
      <c r="H5" s="182"/>
      <c r="I5" s="124"/>
      <c r="J5" s="120"/>
      <c r="K5" s="181"/>
      <c r="L5" s="182"/>
      <c r="M5" s="182"/>
      <c r="N5" s="124"/>
    </row>
    <row r="6" spans="1:18" s="34" customFormat="1" ht="29.4" thickBot="1" x14ac:dyDescent="0.35">
      <c r="A6" s="170" t="s">
        <v>170</v>
      </c>
      <c r="B6" s="177">
        <f>L12</f>
        <v>0.16322012673010991</v>
      </c>
      <c r="C6" s="44" t="s">
        <v>91</v>
      </c>
      <c r="D6" s="40"/>
      <c r="F6" s="131" t="s">
        <v>86</v>
      </c>
      <c r="G6" s="132">
        <v>1.5</v>
      </c>
      <c r="H6" s="132">
        <v>0.18</v>
      </c>
      <c r="I6" s="133">
        <f>G6/100/H6</f>
        <v>8.3333333333333329E-2</v>
      </c>
      <c r="K6" s="131" t="s">
        <v>86</v>
      </c>
      <c r="L6" s="132">
        <v>1.5</v>
      </c>
      <c r="M6" s="132">
        <v>0.18</v>
      </c>
      <c r="N6" s="133">
        <f>L6/100/M6</f>
        <v>8.3333333333333329E-2</v>
      </c>
    </row>
    <row r="7" spans="1:18" s="34" customFormat="1" ht="26.4" x14ac:dyDescent="0.3">
      <c r="F7" s="125" t="s">
        <v>87</v>
      </c>
      <c r="G7" s="121">
        <v>5</v>
      </c>
      <c r="H7" s="121">
        <v>1</v>
      </c>
      <c r="I7" s="126">
        <f>G7/100/H7</f>
        <v>0.05</v>
      </c>
      <c r="K7" s="125" t="s">
        <v>87</v>
      </c>
      <c r="L7" s="121">
        <v>5</v>
      </c>
      <c r="M7" s="121">
        <v>1</v>
      </c>
      <c r="N7" s="126">
        <f>L7/100/M7</f>
        <v>0.05</v>
      </c>
    </row>
    <row r="8" spans="1:18" s="34" customFormat="1" ht="15" thickBot="1" x14ac:dyDescent="0.35">
      <c r="C8" s="40"/>
      <c r="D8" s="40"/>
      <c r="F8" s="125" t="s">
        <v>19</v>
      </c>
      <c r="G8" s="167">
        <v>12</v>
      </c>
      <c r="H8" s="121">
        <v>0.04</v>
      </c>
      <c r="I8" s="126">
        <f>G8/100/H8</f>
        <v>3</v>
      </c>
      <c r="K8" s="125" t="s">
        <v>19</v>
      </c>
      <c r="L8" s="167">
        <v>15</v>
      </c>
      <c r="M8" s="121">
        <v>0.04</v>
      </c>
      <c r="N8" s="126">
        <f>L8/100/M8</f>
        <v>3.75</v>
      </c>
    </row>
    <row r="9" spans="1:18" s="34" customFormat="1" ht="27" thickBot="1" x14ac:dyDescent="0.35">
      <c r="A9" s="40"/>
      <c r="B9" s="40"/>
      <c r="C9" s="140" t="s">
        <v>80</v>
      </c>
      <c r="D9" s="44" t="s">
        <v>8</v>
      </c>
      <c r="F9" s="125" t="s">
        <v>88</v>
      </c>
      <c r="G9" s="121">
        <v>10</v>
      </c>
      <c r="H9" s="121">
        <v>1</v>
      </c>
      <c r="I9" s="126">
        <f>G9/100/H9</f>
        <v>0.1</v>
      </c>
      <c r="K9" s="125" t="s">
        <v>88</v>
      </c>
      <c r="L9" s="121">
        <v>10</v>
      </c>
      <c r="M9" s="121">
        <v>1</v>
      </c>
      <c r="N9" s="126">
        <f>L9/100/M9</f>
        <v>0.1</v>
      </c>
      <c r="O9" s="34" t="s">
        <v>162</v>
      </c>
    </row>
    <row r="10" spans="1:18" s="34" customFormat="1" ht="40.200000000000003" thickBot="1" x14ac:dyDescent="0.35">
      <c r="A10" s="170" t="s">
        <v>164</v>
      </c>
      <c r="B10" s="172">
        <f>D10/C10*100</f>
        <v>0.16</v>
      </c>
      <c r="C10" s="139">
        <v>25</v>
      </c>
      <c r="D10" s="183">
        <v>0.04</v>
      </c>
      <c r="F10" s="134" t="s">
        <v>89</v>
      </c>
      <c r="G10" s="135">
        <v>20</v>
      </c>
      <c r="H10" s="135">
        <v>2</v>
      </c>
      <c r="I10" s="136">
        <f>G10/100/H10</f>
        <v>0.1</v>
      </c>
      <c r="K10" s="134" t="s">
        <v>89</v>
      </c>
      <c r="L10" s="135">
        <v>20</v>
      </c>
      <c r="M10" s="135">
        <v>2</v>
      </c>
      <c r="N10" s="136">
        <f>L10/100/M10</f>
        <v>0.1</v>
      </c>
    </row>
    <row r="11" spans="1:18" s="34" customFormat="1" ht="58.2" thickBot="1" x14ac:dyDescent="0.35">
      <c r="A11" s="170" t="s">
        <v>165</v>
      </c>
      <c r="B11" s="172">
        <f>D11/C11*100</f>
        <v>0.18</v>
      </c>
      <c r="C11" s="139">
        <v>20</v>
      </c>
      <c r="D11" s="183">
        <v>3.5999999999999997E-2</v>
      </c>
      <c r="F11" s="127" t="s">
        <v>90</v>
      </c>
      <c r="G11" s="119">
        <f>'Podstawowe dane'!A11/(0.5*'Podstawowe dane'!A5)</f>
        <v>6.8965517241379306</v>
      </c>
      <c r="H11" s="125" t="s">
        <v>84</v>
      </c>
      <c r="I11" s="126">
        <f>SUM(G6:G10)/100+2*('Podstawowe dane'!N20+'Podstawowe dane'!L21+SUM(I6:I10))</f>
        <v>7.5716666666666672</v>
      </c>
      <c r="J11" s="34" t="s">
        <v>162</v>
      </c>
      <c r="K11" s="127" t="s">
        <v>90</v>
      </c>
      <c r="L11" s="119">
        <f>'Podstawowe dane'!A11/(0.5*'Podstawowe dane'!A5)</f>
        <v>6.8965517241379306</v>
      </c>
      <c r="M11" s="125" t="s">
        <v>84</v>
      </c>
      <c r="N11" s="136">
        <f>SUM(L6:L10)/100+2*('Podstawowe dane'!N20+'Podstawowe dane'!L21+SUM(N6:N10))</f>
        <v>9.1016666666666666</v>
      </c>
      <c r="O11" s="40"/>
      <c r="Q11" s="40"/>
      <c r="R11" s="40"/>
    </row>
    <row r="12" spans="1:18" s="34" customFormat="1" ht="43.8" thickBot="1" x14ac:dyDescent="0.35">
      <c r="A12" s="20"/>
      <c r="B12" s="179"/>
      <c r="F12" s="128" t="s">
        <v>107</v>
      </c>
      <c r="G12" s="178">
        <f>2/(0.457*G11+I11)</f>
        <v>0.1865081704513176</v>
      </c>
      <c r="H12" s="129"/>
      <c r="I12" s="130"/>
      <c r="K12" s="128" t="s">
        <v>108</v>
      </c>
      <c r="L12" s="107">
        <f>2/(0.457*L11+N11)</f>
        <v>0.16322012673010991</v>
      </c>
      <c r="M12" s="130"/>
      <c r="N12" s="130"/>
      <c r="O12" s="40"/>
      <c r="Q12" s="40"/>
      <c r="R12" s="40"/>
    </row>
    <row r="13" spans="1:18" s="34" customFormat="1" x14ac:dyDescent="0.3">
      <c r="A13" t="s">
        <v>101</v>
      </c>
      <c r="B13" s="180">
        <v>50</v>
      </c>
      <c r="C13" t="s">
        <v>102</v>
      </c>
      <c r="Q13" s="38"/>
    </row>
    <row r="14" spans="1:18" s="34" customFormat="1" ht="43.2" x14ac:dyDescent="0.3">
      <c r="A14" s="34" t="str">
        <f>"Wybór dwóch wariantów o najniższym koszcie materiału i eksploatacji przez "&amp;B13&amp;" lat"</f>
        <v>Wybór dwóch wariantów o najniższym koszcie materiału i eksploatacji przez 50 lat</v>
      </c>
      <c r="D14" s="34" t="s">
        <v>97</v>
      </c>
      <c r="E14" s="34" t="s">
        <v>37</v>
      </c>
      <c r="F14" s="50" t="s">
        <v>99</v>
      </c>
      <c r="G14" s="50" t="s">
        <v>126</v>
      </c>
      <c r="H14" s="50"/>
      <c r="I14" s="50"/>
      <c r="K14" s="50"/>
    </row>
    <row r="15" spans="1:18" x14ac:dyDescent="0.3">
      <c r="A15" t="str">
        <f t="shared" ref="A15:A23" si="0">IF(G15=SMALL($G$15:$G$23,1),"Wariant ekonomiczny 1",IF(G15=SMALL($G$15:$G$23,2),"Wariant ekonomiczny 2",""))</f>
        <v/>
      </c>
      <c r="B15" t="str">
        <f>'Podstawowe dane'!A102</f>
        <v>WARIANT 1</v>
      </c>
      <c r="C15" s="34" t="str">
        <f>'Podstawowe dane'!B102</f>
        <v>Styropian gr. 12, Pustak ceramiczny</v>
      </c>
      <c r="D15" s="46">
        <f>'Podstawowe dane'!F102</f>
        <v>0.23463353932568332</v>
      </c>
      <c r="E15" s="93">
        <f>'Podstawowe dane'!G$144</f>
        <v>33566.339999999997</v>
      </c>
      <c r="F15" s="93">
        <f>'Podstawowe dane'!G$143</f>
        <v>1511.2892679295803</v>
      </c>
      <c r="G15" s="93">
        <f t="shared" ref="G15:G23" si="1">E15+$B$13*(F15)</f>
        <v>109130.80339647901</v>
      </c>
      <c r="H15" s="93" t="str">
        <f>'Podstawowe dane'!D34</f>
        <v>Nie spełnia WT 2021</v>
      </c>
      <c r="I15" s="93"/>
      <c r="K15" s="93"/>
    </row>
    <row r="16" spans="1:18" x14ac:dyDescent="0.3">
      <c r="A16" s="34" t="str">
        <f t="shared" si="0"/>
        <v/>
      </c>
      <c r="B16" s="34" t="str">
        <f>'Podstawowe dane'!A103</f>
        <v>WARIANT 2</v>
      </c>
      <c r="C16" s="34" t="str">
        <f>'Podstawowe dane'!B103</f>
        <v>Styropian gr. 12, Beton komórkowy</v>
      </c>
      <c r="D16" s="46">
        <f>'Podstawowe dane'!F103</f>
        <v>0.18834530233140942</v>
      </c>
      <c r="E16" s="93">
        <f>'Podstawowe dane'!H$144</f>
        <v>34853.94</v>
      </c>
      <c r="F16" s="93">
        <f>'Podstawowe dane'!H$143</f>
        <v>1213.1438450634735</v>
      </c>
      <c r="G16" s="93">
        <f t="shared" si="1"/>
        <v>95511.132253173681</v>
      </c>
      <c r="H16" s="93" t="str">
        <f>'Podstawowe dane'!D35</f>
        <v/>
      </c>
      <c r="I16" s="93"/>
      <c r="K16" s="93"/>
    </row>
    <row r="17" spans="1:11" x14ac:dyDescent="0.3">
      <c r="A17" s="34" t="str">
        <f t="shared" si="0"/>
        <v/>
      </c>
      <c r="B17" s="34" t="str">
        <f>'Podstawowe dane'!A104</f>
        <v>WARIANT 3</v>
      </c>
      <c r="C17" s="34" t="str">
        <f>'Podstawowe dane'!B104</f>
        <v>Styropian gr. 12, Bloczki silikatowe</v>
      </c>
      <c r="D17" s="46">
        <f>'Podstawowe dane'!F104</f>
        <v>0.25577594422306826</v>
      </c>
      <c r="E17" s="93">
        <f>'Podstawowe dane'!I$144</f>
        <v>36143.279999999999</v>
      </c>
      <c r="F17" s="93">
        <f>'Podstawowe dane'!I$143</f>
        <v>1647.4688171597024</v>
      </c>
      <c r="G17" s="93">
        <f t="shared" si="1"/>
        <v>118516.72085798511</v>
      </c>
      <c r="H17" s="93" t="str">
        <f>'Podstawowe dane'!D36</f>
        <v>Nie spełnia WT 2021</v>
      </c>
      <c r="I17" s="93"/>
      <c r="K17" s="93"/>
    </row>
    <row r="18" spans="1:11" x14ac:dyDescent="0.3">
      <c r="A18" s="34" t="str">
        <f t="shared" si="0"/>
        <v/>
      </c>
      <c r="B18" s="34" t="str">
        <f>'Podstawowe dane'!A105</f>
        <v>WARIANT 4</v>
      </c>
      <c r="C18" s="34" t="str">
        <f>'Podstawowe dane'!B105</f>
        <v>Styropian gr. 15, Pustak ceramiczny</v>
      </c>
      <c r="D18" s="46">
        <f>'Podstawowe dane'!F105</f>
        <v>0.19713071906327753</v>
      </c>
      <c r="E18" s="93">
        <f>'Podstawowe dane'!J$144</f>
        <v>36698.339999999997</v>
      </c>
      <c r="F18" s="93">
        <f>'Podstawowe dane'!J$143</f>
        <v>1269.7312624434403</v>
      </c>
      <c r="G18" s="93">
        <f t="shared" si="1"/>
        <v>100184.90312217202</v>
      </c>
      <c r="H18" s="93" t="str">
        <f>'Podstawowe dane'!D37</f>
        <v/>
      </c>
      <c r="I18" s="93"/>
      <c r="K18" s="93"/>
    </row>
    <row r="19" spans="1:11" x14ac:dyDescent="0.3">
      <c r="A19" s="34" t="str">
        <f t="shared" si="0"/>
        <v>Wariant ekonomiczny 1</v>
      </c>
      <c r="B19" s="34" t="str">
        <f>'Podstawowe dane'!A106</f>
        <v>WARIANT 5</v>
      </c>
      <c r="C19" s="34" t="str">
        <f>'Podstawowe dane'!B106</f>
        <v>Styropian gr. 15, Beton komórkowy</v>
      </c>
      <c r="D19" s="46">
        <f>'Podstawowe dane'!F106</f>
        <v>0.16339314224375129</v>
      </c>
      <c r="E19" s="93">
        <f>'Podstawowe dane'!K$144</f>
        <v>37985.94</v>
      </c>
      <c r="F19" s="93">
        <f>'Podstawowe dane'!K$143</f>
        <v>1052.4254249240782</v>
      </c>
      <c r="G19" s="93">
        <f t="shared" si="1"/>
        <v>90607.211246203922</v>
      </c>
      <c r="H19" s="93" t="str">
        <f>'Podstawowe dane'!D38</f>
        <v/>
      </c>
      <c r="I19" s="93"/>
      <c r="K19" s="93"/>
    </row>
    <row r="20" spans="1:11" x14ac:dyDescent="0.3">
      <c r="A20" s="34" t="str">
        <f t="shared" si="0"/>
        <v/>
      </c>
      <c r="B20" s="34" t="str">
        <f>'Podstawowe dane'!A107</f>
        <v>WARIANT 6</v>
      </c>
      <c r="C20" s="34" t="str">
        <f>'Podstawowe dane'!B107</f>
        <v>Styropian gr. 15, Bloczki silikatowe</v>
      </c>
      <c r="D20" s="46">
        <f>'Podstawowe dane'!F107</f>
        <v>0.21184274561285121</v>
      </c>
      <c r="E20" s="93">
        <f>'Podstawowe dane'!L$144</f>
        <v>39275.279999999999</v>
      </c>
      <c r="F20" s="93">
        <f>'Podstawowe dane'!L$143</f>
        <v>1364.492343479701</v>
      </c>
      <c r="G20" s="93">
        <f t="shared" si="1"/>
        <v>107499.89717398505</v>
      </c>
      <c r="H20" s="93" t="str">
        <f>'Podstawowe dane'!D39</f>
        <v>Nie spełnia WT 2021</v>
      </c>
      <c r="I20" s="93"/>
      <c r="K20" s="93"/>
    </row>
    <row r="21" spans="1:11" x14ac:dyDescent="0.3">
      <c r="A21" s="34" t="str">
        <f t="shared" si="0"/>
        <v>Wariant ekonomiczny 2</v>
      </c>
      <c r="B21" s="34" t="str">
        <f>'Podstawowe dane'!A108</f>
        <v>WARIANT 7</v>
      </c>
      <c r="C21" s="34" t="str">
        <f>'Podstawowe dane'!B108</f>
        <v>Styropian gr. 20, Pustak ceramiczny</v>
      </c>
      <c r="D21" s="46">
        <f>'Podstawowe dane'!F108</f>
        <v>0.15566316324860052</v>
      </c>
      <c r="E21" s="93">
        <f>'Podstawowe dane'!M$144</f>
        <v>41918.339999999997</v>
      </c>
      <c r="F21" s="93">
        <f>'Podstawowe dane'!M$143</f>
        <v>1002.6361478656227</v>
      </c>
      <c r="G21" s="93">
        <f t="shared" si="1"/>
        <v>92050.147393281135</v>
      </c>
      <c r="H21" s="93" t="str">
        <f>'Podstawowe dane'!D40</f>
        <v/>
      </c>
      <c r="I21" s="93"/>
      <c r="K21" s="93"/>
    </row>
    <row r="22" spans="1:11" x14ac:dyDescent="0.3">
      <c r="A22" s="34" t="str">
        <f t="shared" si="0"/>
        <v/>
      </c>
      <c r="B22" s="34" t="str">
        <f>'Podstawowe dane'!A109</f>
        <v>WARIANT 8</v>
      </c>
      <c r="C22" s="34" t="str">
        <f>'Podstawowe dane'!B109</f>
        <v>Styropian gr. 20, Beton komórkowy</v>
      </c>
      <c r="D22" s="46">
        <f>'Podstawowe dane'!F109</f>
        <v>0.13384087127346386</v>
      </c>
      <c r="E22" s="93">
        <f>'Podstawowe dane'!N$144</f>
        <v>43205.94</v>
      </c>
      <c r="F22" s="93">
        <f>'Podstawowe dane'!M$143</f>
        <v>1002.6361478656227</v>
      </c>
      <c r="G22" s="93">
        <f t="shared" si="1"/>
        <v>93337.747393281141</v>
      </c>
      <c r="H22" s="93" t="str">
        <f>'Podstawowe dane'!D41</f>
        <v/>
      </c>
      <c r="I22" s="93"/>
      <c r="K22" s="93"/>
    </row>
    <row r="23" spans="1:11" x14ac:dyDescent="0.3">
      <c r="A23" s="34" t="str">
        <f t="shared" si="0"/>
        <v/>
      </c>
      <c r="B23" s="34" t="str">
        <f>'Podstawowe dane'!A110</f>
        <v>WARIANT 9</v>
      </c>
      <c r="C23" s="34" t="str">
        <f>'Podstawowe dane'!B110</f>
        <v>Styropian gr. 20, Bloczki silikatowe</v>
      </c>
      <c r="D23" s="46">
        <f>'Podstawowe dane'!F110</f>
        <v>0.16469488523818757</v>
      </c>
      <c r="E23" s="93">
        <f>'Podstawowe dane'!O$144</f>
        <v>44495.28</v>
      </c>
      <c r="F23" s="93">
        <f>'Podstawowe dane'!O$143</f>
        <v>1060.8100327800048</v>
      </c>
      <c r="G23" s="93">
        <f t="shared" si="1"/>
        <v>97535.781639000241</v>
      </c>
      <c r="H23" s="93" t="str">
        <f>'Podstawowe dane'!D42</f>
        <v/>
      </c>
      <c r="I23" s="93"/>
      <c r="K23" s="93"/>
    </row>
    <row r="25" spans="1:11" ht="18" x14ac:dyDescent="0.35">
      <c r="A25" s="152" t="s">
        <v>104</v>
      </c>
    </row>
    <row r="28" spans="1:11" s="34" customFormat="1" x14ac:dyDescent="0.3">
      <c r="A28" s="96" t="s">
        <v>103</v>
      </c>
      <c r="B28" s="34" t="s">
        <v>157</v>
      </c>
      <c r="C28" s="34" t="s">
        <v>97</v>
      </c>
      <c r="D28" s="39" t="s">
        <v>120</v>
      </c>
    </row>
    <row r="29" spans="1:11" x14ac:dyDescent="0.3">
      <c r="A29" t="s">
        <v>122</v>
      </c>
      <c r="B29" s="34" t="str">
        <f>VLOOKUP("Wariant ekonomiczny 1",A15:N23,3,FALSE)</f>
        <v>Styropian gr. 15, Beton komórkowy</v>
      </c>
      <c r="C29" s="37">
        <f>VLOOKUP("Wariant ekonomiczny 1",A15:N23,4,FALSE)</f>
        <v>0.16339314224375129</v>
      </c>
      <c r="D29" s="32">
        <f>VLOOKUP("Wariant ekonomiczny 1",A15:N23,5,FALSE)</f>
        <v>37985.94</v>
      </c>
    </row>
    <row r="30" spans="1:11" x14ac:dyDescent="0.3">
      <c r="A30" t="s">
        <v>123</v>
      </c>
      <c r="B30" t="str">
        <f>VLOOKUP("Wariant ekonomiczny 2",A15:N23,3,FALSE)</f>
        <v>Styropian gr. 20, Pustak ceramiczny</v>
      </c>
      <c r="C30" s="37">
        <f>VLOOKUP("Wariant ekonomiczny 2",A15:N23,4,FALSE)</f>
        <v>0.15566316324860052</v>
      </c>
      <c r="D30" s="32">
        <f>VLOOKUP("Wariant ekonomiczny 2",A15:N23,5,FALSE)</f>
        <v>41918.339999999997</v>
      </c>
    </row>
    <row r="31" spans="1:11" x14ac:dyDescent="0.3">
      <c r="D31" s="39"/>
    </row>
    <row r="32" spans="1:11" x14ac:dyDescent="0.3">
      <c r="A32" s="96" t="s">
        <v>105</v>
      </c>
      <c r="B32" t="s">
        <v>131</v>
      </c>
      <c r="D32" s="39" t="s">
        <v>78</v>
      </c>
    </row>
    <row r="33" spans="1:15" x14ac:dyDescent="0.3">
      <c r="A33" t="s">
        <v>132</v>
      </c>
      <c r="B33" s="153">
        <f>B2</f>
        <v>0.9</v>
      </c>
      <c r="D33" s="155">
        <v>32000</v>
      </c>
    </row>
    <row r="34" spans="1:15" x14ac:dyDescent="0.3">
      <c r="A34" s="34" t="s">
        <v>133</v>
      </c>
      <c r="B34" s="153">
        <f>B3</f>
        <v>0.8</v>
      </c>
      <c r="D34" s="155">
        <v>36000</v>
      </c>
    </row>
    <row r="36" spans="1:15" ht="28.8" x14ac:dyDescent="0.3">
      <c r="A36" s="96" t="s">
        <v>106</v>
      </c>
      <c r="B36" s="34" t="s">
        <v>79</v>
      </c>
      <c r="C36" s="39" t="s">
        <v>98</v>
      </c>
      <c r="D36" s="88" t="s">
        <v>118</v>
      </c>
      <c r="E36" s="50" t="s">
        <v>154</v>
      </c>
    </row>
    <row r="37" spans="1:15" x14ac:dyDescent="0.3">
      <c r="A37" t="s">
        <v>114</v>
      </c>
      <c r="B37" s="153">
        <f>G8</f>
        <v>12</v>
      </c>
      <c r="C37" s="168">
        <f>G12</f>
        <v>0.1865081704513176</v>
      </c>
      <c r="D37" s="155">
        <v>600</v>
      </c>
      <c r="E37" s="93">
        <f>D37/100*B37*'Podstawowe dane'!$A$11</f>
        <v>14400</v>
      </c>
    </row>
    <row r="38" spans="1:15" x14ac:dyDescent="0.3">
      <c r="A38" t="s">
        <v>115</v>
      </c>
      <c r="B38" s="153">
        <f>L8</f>
        <v>15</v>
      </c>
      <c r="C38" s="168">
        <f>L12</f>
        <v>0.16322012673010991</v>
      </c>
      <c r="D38" s="155">
        <v>600</v>
      </c>
      <c r="E38" s="93">
        <f>D38/100*B38*'Podstawowe dane'!$A$11</f>
        <v>18000</v>
      </c>
    </row>
    <row r="39" spans="1:15" x14ac:dyDescent="0.3">
      <c r="A39" s="34"/>
      <c r="B39" s="34"/>
      <c r="C39" s="39"/>
    </row>
    <row r="40" spans="1:15" ht="28.8" x14ac:dyDescent="0.3">
      <c r="A40" s="96" t="s">
        <v>112</v>
      </c>
      <c r="B40" s="34" t="s">
        <v>80</v>
      </c>
      <c r="C40" s="39" t="s">
        <v>113</v>
      </c>
      <c r="D40" s="34" t="s">
        <v>119</v>
      </c>
      <c r="E40" s="50" t="s">
        <v>153</v>
      </c>
    </row>
    <row r="41" spans="1:15" x14ac:dyDescent="0.3">
      <c r="A41" t="s">
        <v>116</v>
      </c>
      <c r="B41" s="154">
        <f>C10</f>
        <v>25</v>
      </c>
      <c r="C41" s="168">
        <f>B10</f>
        <v>0.16</v>
      </c>
      <c r="D41" s="155">
        <v>240</v>
      </c>
      <c r="E41" s="93">
        <f>D41/100*B41*'Podstawowe dane'!$A$14</f>
        <v>12000</v>
      </c>
    </row>
    <row r="42" spans="1:15" x14ac:dyDescent="0.3">
      <c r="A42" t="s">
        <v>117</v>
      </c>
      <c r="B42" s="154">
        <f>C11</f>
        <v>20</v>
      </c>
      <c r="C42" s="168">
        <f>D10/B42*100</f>
        <v>0.2</v>
      </c>
      <c r="D42" s="155">
        <v>240</v>
      </c>
      <c r="E42" s="93">
        <f>D42/100*B42*'Podstawowe dane'!$A$14</f>
        <v>9600</v>
      </c>
    </row>
    <row r="43" spans="1:15" ht="15" thickBot="1" x14ac:dyDescent="0.35">
      <c r="C43" s="39"/>
    </row>
    <row r="44" spans="1:15" ht="18" x14ac:dyDescent="0.35">
      <c r="A44" s="156" t="s">
        <v>124</v>
      </c>
      <c r="B44" s="198" t="s">
        <v>121</v>
      </c>
      <c r="C44" s="198"/>
      <c r="D44" s="198"/>
      <c r="E44" s="198"/>
      <c r="F44" s="157"/>
      <c r="G44" s="199" t="s">
        <v>152</v>
      </c>
      <c r="H44" s="199"/>
      <c r="I44" s="199"/>
      <c r="J44" s="199"/>
      <c r="K44" s="71"/>
    </row>
    <row r="45" spans="1:15" ht="43.2" x14ac:dyDescent="0.3">
      <c r="A45" s="158"/>
      <c r="B45" s="159" t="s">
        <v>125</v>
      </c>
      <c r="C45" s="159" t="s">
        <v>130</v>
      </c>
      <c r="D45" s="159" t="s">
        <v>137</v>
      </c>
      <c r="E45" s="159" t="s">
        <v>129</v>
      </c>
      <c r="F45" s="160" t="s">
        <v>151</v>
      </c>
      <c r="G45" s="159" t="s">
        <v>125</v>
      </c>
      <c r="H45" s="159" t="s">
        <v>130</v>
      </c>
      <c r="I45" s="159" t="s">
        <v>137</v>
      </c>
      <c r="J45" s="159" t="s">
        <v>129</v>
      </c>
      <c r="K45" s="161" t="s">
        <v>155</v>
      </c>
      <c r="N45" s="39"/>
      <c r="O45" s="39"/>
    </row>
    <row r="46" spans="1:15" x14ac:dyDescent="0.3">
      <c r="A46" s="58" t="s">
        <v>134</v>
      </c>
      <c r="B46" s="162">
        <f>VLOOKUP("Wariant ekonomiczny 1",A15:N23,6,FALSE)</f>
        <v>1052.4254249240782</v>
      </c>
      <c r="C46" s="162">
        <f>'Podstawowe dane'!$Q$143</f>
        <v>1332.6336000000001</v>
      </c>
      <c r="D46" s="162">
        <f>'Podstawowe dane'!$U$143</f>
        <v>607.33028560403443</v>
      </c>
      <c r="E46" s="162">
        <f>'Podstawowe dane'!$S$143</f>
        <v>1184.5632000000001</v>
      </c>
      <c r="F46" s="162">
        <f>B46+C46+D46+E46</f>
        <v>4176.9525105281136</v>
      </c>
      <c r="G46" s="31">
        <f>$D$29</f>
        <v>37985.94</v>
      </c>
      <c r="H46" s="31">
        <f>$D$33</f>
        <v>32000</v>
      </c>
      <c r="I46" s="31">
        <f>$E$37</f>
        <v>14400</v>
      </c>
      <c r="J46" s="31">
        <f>$E$41</f>
        <v>12000</v>
      </c>
      <c r="K46" s="48">
        <f>G46+H46+I46+J46</f>
        <v>96385.94</v>
      </c>
    </row>
    <row r="47" spans="1:15" x14ac:dyDescent="0.3">
      <c r="A47" s="58" t="s">
        <v>136</v>
      </c>
      <c r="B47" s="162">
        <f>B46</f>
        <v>1052.4254249240782</v>
      </c>
      <c r="C47" s="162">
        <f>'Podstawowe dane'!$Q$143</f>
        <v>1332.6336000000001</v>
      </c>
      <c r="D47" s="162">
        <f>'Podstawowe dane'!$U$143</f>
        <v>607.33028560403443</v>
      </c>
      <c r="E47" s="162">
        <f>'Podstawowe dane'!$T$143</f>
        <v>1480.7040000000002</v>
      </c>
      <c r="F47" s="162">
        <f t="shared" ref="F47:F61" si="2">B47+C47+D47+E47</f>
        <v>4473.0933105281129</v>
      </c>
      <c r="G47" s="31">
        <f t="shared" ref="G47:G53" si="3">$D$29</f>
        <v>37985.94</v>
      </c>
      <c r="H47" s="31">
        <f t="shared" ref="H47:H49" si="4">$D$33</f>
        <v>32000</v>
      </c>
      <c r="I47" s="31">
        <f>$E$37</f>
        <v>14400</v>
      </c>
      <c r="J47" s="31">
        <f>$E$42</f>
        <v>9600</v>
      </c>
      <c r="K47" s="48">
        <f t="shared" ref="K47:K61" si="5">G47+H47+I47+J47</f>
        <v>93985.94</v>
      </c>
    </row>
    <row r="48" spans="1:15" x14ac:dyDescent="0.3">
      <c r="A48" s="58" t="s">
        <v>138</v>
      </c>
      <c r="B48" s="162">
        <f t="shared" ref="B48:B53" si="6">B47</f>
        <v>1052.4254249240782</v>
      </c>
      <c r="C48" s="162">
        <f>'Podstawowe dane'!$Q$143</f>
        <v>1332.6336000000001</v>
      </c>
      <c r="D48" s="162">
        <f>'Podstawowe dane'!$V$143</f>
        <v>531.49696307379145</v>
      </c>
      <c r="E48" s="162">
        <f>'Podstawowe dane'!$S$143</f>
        <v>1184.5632000000001</v>
      </c>
      <c r="F48" s="162">
        <f t="shared" si="2"/>
        <v>4101.1191879978705</v>
      </c>
      <c r="G48" s="31">
        <f t="shared" si="3"/>
        <v>37985.94</v>
      </c>
      <c r="H48" s="31">
        <f t="shared" si="4"/>
        <v>32000</v>
      </c>
      <c r="I48" s="31">
        <f>$E$38</f>
        <v>18000</v>
      </c>
      <c r="J48" s="31">
        <f t="shared" ref="J48" si="7">$E$41</f>
        <v>12000</v>
      </c>
      <c r="K48" s="48">
        <f t="shared" si="5"/>
        <v>99985.94</v>
      </c>
    </row>
    <row r="49" spans="1:11" x14ac:dyDescent="0.3">
      <c r="A49" s="58" t="s">
        <v>139</v>
      </c>
      <c r="B49" s="162">
        <f t="shared" si="6"/>
        <v>1052.4254249240782</v>
      </c>
      <c r="C49" s="162">
        <f>'Podstawowe dane'!$Q$143</f>
        <v>1332.6336000000001</v>
      </c>
      <c r="D49" s="162">
        <f>'Podstawowe dane'!$V$143</f>
        <v>531.49696307379145</v>
      </c>
      <c r="E49" s="162">
        <f>'Podstawowe dane'!$T$143</f>
        <v>1480.7040000000002</v>
      </c>
      <c r="F49" s="162">
        <f t="shared" si="2"/>
        <v>4397.2599879978698</v>
      </c>
      <c r="G49" s="31">
        <f t="shared" si="3"/>
        <v>37985.94</v>
      </c>
      <c r="H49" s="31">
        <f t="shared" si="4"/>
        <v>32000</v>
      </c>
      <c r="I49" s="31">
        <f>$E$38</f>
        <v>18000</v>
      </c>
      <c r="J49" s="31">
        <f t="shared" ref="J49" si="8">$E$42</f>
        <v>9600</v>
      </c>
      <c r="K49" s="48">
        <f t="shared" si="5"/>
        <v>97585.94</v>
      </c>
    </row>
    <row r="50" spans="1:11" x14ac:dyDescent="0.3">
      <c r="A50" s="58" t="s">
        <v>140</v>
      </c>
      <c r="B50" s="162">
        <f t="shared" si="6"/>
        <v>1052.4254249240782</v>
      </c>
      <c r="C50" s="162">
        <f>'Podstawowe dane'!$R$143</f>
        <v>1184.5632000000001</v>
      </c>
      <c r="D50" s="162">
        <f>'Podstawowe dane'!$U$143</f>
        <v>607.33028560403443</v>
      </c>
      <c r="E50" s="162">
        <f>'Podstawowe dane'!$S$143</f>
        <v>1184.5632000000001</v>
      </c>
      <c r="F50" s="162">
        <f t="shared" si="2"/>
        <v>4028.8821105281127</v>
      </c>
      <c r="G50" s="31">
        <f t="shared" si="3"/>
        <v>37985.94</v>
      </c>
      <c r="H50" s="31">
        <f>$D$34</f>
        <v>36000</v>
      </c>
      <c r="I50" s="31">
        <f t="shared" ref="I50:I51" si="9">$E$37</f>
        <v>14400</v>
      </c>
      <c r="J50" s="31">
        <f t="shared" ref="J50" si="10">$E$41</f>
        <v>12000</v>
      </c>
      <c r="K50" s="48">
        <f t="shared" si="5"/>
        <v>100385.94</v>
      </c>
    </row>
    <row r="51" spans="1:11" x14ac:dyDescent="0.3">
      <c r="A51" s="58" t="s">
        <v>141</v>
      </c>
      <c r="B51" s="162">
        <f t="shared" si="6"/>
        <v>1052.4254249240782</v>
      </c>
      <c r="C51" s="162">
        <f>'Podstawowe dane'!$R$143</f>
        <v>1184.5632000000001</v>
      </c>
      <c r="D51" s="162">
        <f>'Podstawowe dane'!$U$143</f>
        <v>607.33028560403443</v>
      </c>
      <c r="E51" s="162">
        <f>'Podstawowe dane'!$T$143</f>
        <v>1480.7040000000002</v>
      </c>
      <c r="F51" s="162">
        <f t="shared" si="2"/>
        <v>4325.0229105281123</v>
      </c>
      <c r="G51" s="31">
        <f t="shared" si="3"/>
        <v>37985.94</v>
      </c>
      <c r="H51" s="31">
        <f>$D$34</f>
        <v>36000</v>
      </c>
      <c r="I51" s="31">
        <f t="shared" si="9"/>
        <v>14400</v>
      </c>
      <c r="J51" s="31">
        <f t="shared" ref="J51" si="11">$E$42</f>
        <v>9600</v>
      </c>
      <c r="K51" s="48">
        <f t="shared" si="5"/>
        <v>97985.94</v>
      </c>
    </row>
    <row r="52" spans="1:11" x14ac:dyDescent="0.3">
      <c r="A52" s="58" t="s">
        <v>142</v>
      </c>
      <c r="B52" s="162">
        <f t="shared" si="6"/>
        <v>1052.4254249240782</v>
      </c>
      <c r="C52" s="162">
        <f>'Podstawowe dane'!$R$143</f>
        <v>1184.5632000000001</v>
      </c>
      <c r="D52" s="162">
        <f>'Podstawowe dane'!$V$143</f>
        <v>531.49696307379145</v>
      </c>
      <c r="E52" s="162">
        <f>'Podstawowe dane'!$S$143</f>
        <v>1184.5632000000001</v>
      </c>
      <c r="F52" s="162">
        <f t="shared" si="2"/>
        <v>3953.0487879978696</v>
      </c>
      <c r="G52" s="31">
        <f t="shared" si="3"/>
        <v>37985.94</v>
      </c>
      <c r="H52" s="31">
        <f>$D$34</f>
        <v>36000</v>
      </c>
      <c r="I52" s="31">
        <f t="shared" ref="I52:I53" si="12">$E$38</f>
        <v>18000</v>
      </c>
      <c r="J52" s="31">
        <f t="shared" ref="J52" si="13">$E$41</f>
        <v>12000</v>
      </c>
      <c r="K52" s="48">
        <f t="shared" si="5"/>
        <v>103985.94</v>
      </c>
    </row>
    <row r="53" spans="1:11" x14ac:dyDescent="0.3">
      <c r="A53" s="58" t="s">
        <v>143</v>
      </c>
      <c r="B53" s="162">
        <f t="shared" si="6"/>
        <v>1052.4254249240782</v>
      </c>
      <c r="C53" s="162">
        <f>'Podstawowe dane'!$R$143</f>
        <v>1184.5632000000001</v>
      </c>
      <c r="D53" s="162">
        <f>'Podstawowe dane'!$V$143</f>
        <v>531.49696307379145</v>
      </c>
      <c r="E53" s="162">
        <f>'Podstawowe dane'!$T$143</f>
        <v>1480.7040000000002</v>
      </c>
      <c r="F53" s="162">
        <f t="shared" si="2"/>
        <v>4249.1895879978692</v>
      </c>
      <c r="G53" s="31">
        <f t="shared" si="3"/>
        <v>37985.94</v>
      </c>
      <c r="H53" s="31">
        <f>$D$34</f>
        <v>36000</v>
      </c>
      <c r="I53" s="31">
        <f t="shared" si="12"/>
        <v>18000</v>
      </c>
      <c r="J53" s="31">
        <f t="shared" ref="J53" si="14">$E$42</f>
        <v>9600</v>
      </c>
      <c r="K53" s="48">
        <f t="shared" si="5"/>
        <v>101585.94</v>
      </c>
    </row>
    <row r="54" spans="1:11" x14ac:dyDescent="0.3">
      <c r="A54" s="58" t="s">
        <v>144</v>
      </c>
      <c r="B54" s="162">
        <f>VLOOKUP("Wariant ekonomiczny 2",A15:N23,6,FALSE)</f>
        <v>1002.6361478656227</v>
      </c>
      <c r="C54" s="162">
        <f>'Podstawowe dane'!$Q$143</f>
        <v>1332.6336000000001</v>
      </c>
      <c r="D54" s="162">
        <f>'Podstawowe dane'!$U$143</f>
        <v>607.33028560403443</v>
      </c>
      <c r="E54" s="162">
        <f>'Podstawowe dane'!$S$143</f>
        <v>1184.5632000000001</v>
      </c>
      <c r="F54" s="162">
        <f t="shared" si="2"/>
        <v>4127.1632334696569</v>
      </c>
      <c r="G54" s="31">
        <f>$D$30</f>
        <v>41918.339999999997</v>
      </c>
      <c r="H54" s="31">
        <f>$D$33</f>
        <v>32000</v>
      </c>
      <c r="I54" s="31">
        <f t="shared" ref="I54:I55" si="15">$E$37</f>
        <v>14400</v>
      </c>
      <c r="J54" s="31">
        <f t="shared" ref="J54" si="16">$E$41</f>
        <v>12000</v>
      </c>
      <c r="K54" s="48">
        <f t="shared" si="5"/>
        <v>100318.34</v>
      </c>
    </row>
    <row r="55" spans="1:11" x14ac:dyDescent="0.3">
      <c r="A55" s="58" t="s">
        <v>145</v>
      </c>
      <c r="B55" s="162">
        <f>B54</f>
        <v>1002.6361478656227</v>
      </c>
      <c r="C55" s="162">
        <f>'Podstawowe dane'!$Q$143</f>
        <v>1332.6336000000001</v>
      </c>
      <c r="D55" s="162">
        <f>'Podstawowe dane'!$U$143</f>
        <v>607.33028560403443</v>
      </c>
      <c r="E55" s="162">
        <f>'Podstawowe dane'!$T$143</f>
        <v>1480.7040000000002</v>
      </c>
      <c r="F55" s="162">
        <f t="shared" si="2"/>
        <v>4423.304033469658</v>
      </c>
      <c r="G55" s="31">
        <f t="shared" ref="G55:G61" si="17">$D$30</f>
        <v>41918.339999999997</v>
      </c>
      <c r="H55" s="31">
        <f t="shared" ref="H55:H57" si="18">$D$33</f>
        <v>32000</v>
      </c>
      <c r="I55" s="31">
        <f t="shared" si="15"/>
        <v>14400</v>
      </c>
      <c r="J55" s="31">
        <f t="shared" ref="J55" si="19">$E$42</f>
        <v>9600</v>
      </c>
      <c r="K55" s="48">
        <f t="shared" si="5"/>
        <v>97918.34</v>
      </c>
    </row>
    <row r="56" spans="1:11" x14ac:dyDescent="0.3">
      <c r="A56" s="58" t="s">
        <v>146</v>
      </c>
      <c r="B56" s="162">
        <f t="shared" ref="B56:B61" si="20">B55</f>
        <v>1002.6361478656227</v>
      </c>
      <c r="C56" s="162">
        <f>'Podstawowe dane'!$Q$143</f>
        <v>1332.6336000000001</v>
      </c>
      <c r="D56" s="162">
        <f>'Podstawowe dane'!$V$143</f>
        <v>531.49696307379145</v>
      </c>
      <c r="E56" s="162">
        <f>'Podstawowe dane'!$S$143</f>
        <v>1184.5632000000001</v>
      </c>
      <c r="F56" s="162">
        <f t="shared" si="2"/>
        <v>4051.3299109394143</v>
      </c>
      <c r="G56" s="31">
        <f t="shared" si="17"/>
        <v>41918.339999999997</v>
      </c>
      <c r="H56" s="31">
        <f t="shared" si="18"/>
        <v>32000</v>
      </c>
      <c r="I56" s="31">
        <f t="shared" ref="I56:I57" si="21">$E$38</f>
        <v>18000</v>
      </c>
      <c r="J56" s="31">
        <f t="shared" ref="J56" si="22">$E$41</f>
        <v>12000</v>
      </c>
      <c r="K56" s="48">
        <f t="shared" si="5"/>
        <v>103918.34</v>
      </c>
    </row>
    <row r="57" spans="1:11" x14ac:dyDescent="0.3">
      <c r="A57" s="58" t="s">
        <v>147</v>
      </c>
      <c r="B57" s="162">
        <f t="shared" si="20"/>
        <v>1002.6361478656227</v>
      </c>
      <c r="C57" s="162">
        <f>'Podstawowe dane'!$Q$143</f>
        <v>1332.6336000000001</v>
      </c>
      <c r="D57" s="162">
        <f>'Podstawowe dane'!$V$143</f>
        <v>531.49696307379145</v>
      </c>
      <c r="E57" s="162">
        <f>'Podstawowe dane'!$T$143</f>
        <v>1480.7040000000002</v>
      </c>
      <c r="F57" s="162">
        <f t="shared" si="2"/>
        <v>4347.4707109394149</v>
      </c>
      <c r="G57" s="31">
        <f t="shared" si="17"/>
        <v>41918.339999999997</v>
      </c>
      <c r="H57" s="31">
        <f t="shared" si="18"/>
        <v>32000</v>
      </c>
      <c r="I57" s="31">
        <f t="shared" si="21"/>
        <v>18000</v>
      </c>
      <c r="J57" s="31">
        <f t="shared" ref="J57" si="23">$E$42</f>
        <v>9600</v>
      </c>
      <c r="K57" s="48">
        <f t="shared" si="5"/>
        <v>101518.34</v>
      </c>
    </row>
    <row r="58" spans="1:11" x14ac:dyDescent="0.3">
      <c r="A58" s="58" t="s">
        <v>148</v>
      </c>
      <c r="B58" s="162">
        <f t="shared" si="20"/>
        <v>1002.6361478656227</v>
      </c>
      <c r="C58" s="162">
        <f>'Podstawowe dane'!$R$143</f>
        <v>1184.5632000000001</v>
      </c>
      <c r="D58" s="162">
        <f>'Podstawowe dane'!$U$143</f>
        <v>607.33028560403443</v>
      </c>
      <c r="E58" s="162">
        <f>'Podstawowe dane'!$S$143</f>
        <v>1184.5632000000001</v>
      </c>
      <c r="F58" s="162">
        <f t="shared" si="2"/>
        <v>3979.0928334696573</v>
      </c>
      <c r="G58" s="31">
        <f t="shared" si="17"/>
        <v>41918.339999999997</v>
      </c>
      <c r="H58" s="31">
        <f>$D$34</f>
        <v>36000</v>
      </c>
      <c r="I58" s="31">
        <f t="shared" ref="I58:I59" si="24">$E$37</f>
        <v>14400</v>
      </c>
      <c r="J58" s="31">
        <f t="shared" ref="J58" si="25">$E$41</f>
        <v>12000</v>
      </c>
      <c r="K58" s="48">
        <f t="shared" si="5"/>
        <v>104318.34</v>
      </c>
    </row>
    <row r="59" spans="1:11" x14ac:dyDescent="0.3">
      <c r="A59" s="58" t="s">
        <v>149</v>
      </c>
      <c r="B59" s="162">
        <f t="shared" si="20"/>
        <v>1002.6361478656227</v>
      </c>
      <c r="C59" s="162">
        <f>'Podstawowe dane'!$R$143</f>
        <v>1184.5632000000001</v>
      </c>
      <c r="D59" s="162">
        <f>'Podstawowe dane'!$U$143</f>
        <v>607.33028560403443</v>
      </c>
      <c r="E59" s="162">
        <f>'Podstawowe dane'!$T$143</f>
        <v>1480.7040000000002</v>
      </c>
      <c r="F59" s="162">
        <f t="shared" si="2"/>
        <v>4275.2336334696574</v>
      </c>
      <c r="G59" s="31">
        <f t="shared" si="17"/>
        <v>41918.339999999997</v>
      </c>
      <c r="H59" s="31">
        <f>$D$34</f>
        <v>36000</v>
      </c>
      <c r="I59" s="31">
        <f t="shared" si="24"/>
        <v>14400</v>
      </c>
      <c r="J59" s="31">
        <f t="shared" ref="J59" si="26">$E$42</f>
        <v>9600</v>
      </c>
      <c r="K59" s="48">
        <f t="shared" si="5"/>
        <v>101918.34</v>
      </c>
    </row>
    <row r="60" spans="1:11" x14ac:dyDescent="0.3">
      <c r="A60" s="58" t="s">
        <v>150</v>
      </c>
      <c r="B60" s="162">
        <f t="shared" si="20"/>
        <v>1002.6361478656227</v>
      </c>
      <c r="C60" s="162">
        <f>'Podstawowe dane'!$R$143</f>
        <v>1184.5632000000001</v>
      </c>
      <c r="D60" s="162">
        <f>'Podstawowe dane'!$V$143</f>
        <v>531.49696307379145</v>
      </c>
      <c r="E60" s="162">
        <f>'Podstawowe dane'!$S$143</f>
        <v>1184.5632000000001</v>
      </c>
      <c r="F60" s="162">
        <f t="shared" si="2"/>
        <v>3903.2595109394142</v>
      </c>
      <c r="G60" s="31">
        <f t="shared" si="17"/>
        <v>41918.339999999997</v>
      </c>
      <c r="H60" s="31">
        <f>$D$34</f>
        <v>36000</v>
      </c>
      <c r="I60" s="31">
        <f t="shared" ref="I60:I61" si="27">$E$38</f>
        <v>18000</v>
      </c>
      <c r="J60" s="31">
        <f t="shared" ref="J60" si="28">$E$41</f>
        <v>12000</v>
      </c>
      <c r="K60" s="48">
        <f t="shared" si="5"/>
        <v>107918.34</v>
      </c>
    </row>
    <row r="61" spans="1:11" ht="15" thickBot="1" x14ac:dyDescent="0.35">
      <c r="A61" s="63" t="s">
        <v>135</v>
      </c>
      <c r="B61" s="163">
        <f t="shared" si="20"/>
        <v>1002.6361478656227</v>
      </c>
      <c r="C61" s="163">
        <f>'Podstawowe dane'!$R$143</f>
        <v>1184.5632000000001</v>
      </c>
      <c r="D61" s="163">
        <f>'Podstawowe dane'!$V$143</f>
        <v>531.49696307379145</v>
      </c>
      <c r="E61" s="163">
        <f>'Podstawowe dane'!$T$143</f>
        <v>1480.7040000000002</v>
      </c>
      <c r="F61" s="163">
        <f t="shared" si="2"/>
        <v>4199.4003109394143</v>
      </c>
      <c r="G61" s="164">
        <f t="shared" si="17"/>
        <v>41918.339999999997</v>
      </c>
      <c r="H61" s="164">
        <f>$D$34</f>
        <v>36000</v>
      </c>
      <c r="I61" s="164">
        <f t="shared" si="27"/>
        <v>18000</v>
      </c>
      <c r="J61" s="164">
        <f t="shared" ref="J61" si="29">$E$42</f>
        <v>9600</v>
      </c>
      <c r="K61" s="151">
        <f t="shared" si="5"/>
        <v>105518.34</v>
      </c>
    </row>
    <row r="63" spans="1:11" s="34" customFormat="1" ht="15" thickBot="1" x14ac:dyDescent="0.35"/>
    <row r="64" spans="1:11" ht="43.2" x14ac:dyDescent="0.3">
      <c r="A64" s="165" t="s">
        <v>156</v>
      </c>
      <c r="B64" s="166" t="str">
        <f>"Całkowity koszt materiałów i straty energii przez przegrody w ciągu "&amp;B13&amp;" lat"</f>
        <v>Całkowity koszt materiałów i straty energii przez przegrody w ciągu 50 lat</v>
      </c>
    </row>
    <row r="65" spans="1:2" x14ac:dyDescent="0.3">
      <c r="A65" s="58" t="str">
        <f t="shared" ref="A65:A80" si="30">A46</f>
        <v>Ściana 1, Okna 1, Podłoga 1, Dach 1</v>
      </c>
      <c r="B65" s="48">
        <f t="shared" ref="B65:B80" si="31">K46+$B$13*F46</f>
        <v>305233.5655264057</v>
      </c>
    </row>
    <row r="66" spans="1:2" x14ac:dyDescent="0.3">
      <c r="A66" s="58" t="str">
        <f t="shared" si="30"/>
        <v>Ściana 1, Okna 1, Podłoga 1, Dach 2</v>
      </c>
      <c r="B66" s="48">
        <f t="shared" si="31"/>
        <v>317640.60552640562</v>
      </c>
    </row>
    <row r="67" spans="1:2" x14ac:dyDescent="0.3">
      <c r="A67" s="58" t="str">
        <f t="shared" si="30"/>
        <v>Ściana 1, Okna 1, Podłoga 2, Dach 1</v>
      </c>
      <c r="B67" s="48">
        <f t="shared" si="31"/>
        <v>305041.89939989353</v>
      </c>
    </row>
    <row r="68" spans="1:2" x14ac:dyDescent="0.3">
      <c r="A68" s="58" t="str">
        <f t="shared" si="30"/>
        <v>Ściana 1, Okna 1, Podłoga 2, Dach 2</v>
      </c>
      <c r="B68" s="48">
        <f t="shared" si="31"/>
        <v>317448.93939989351</v>
      </c>
    </row>
    <row r="69" spans="1:2" x14ac:dyDescent="0.3">
      <c r="A69" s="58" t="str">
        <f t="shared" si="30"/>
        <v>Ściana 1, Okna 2, Podłoga 1, Dach 1</v>
      </c>
      <c r="B69" s="48">
        <f t="shared" si="31"/>
        <v>301830.04552640562</v>
      </c>
    </row>
    <row r="70" spans="1:2" x14ac:dyDescent="0.3">
      <c r="A70" s="58" t="str">
        <f t="shared" si="30"/>
        <v>Ściana 1, Okna 2, Podłoga 1, Dach 2</v>
      </c>
      <c r="B70" s="48">
        <f t="shared" si="31"/>
        <v>314237.0855264056</v>
      </c>
    </row>
    <row r="71" spans="1:2" x14ac:dyDescent="0.3">
      <c r="A71" s="58" t="str">
        <f t="shared" si="30"/>
        <v>Ściana 1, Okna 2, Podłoga 2, Dach 1</v>
      </c>
      <c r="B71" s="48">
        <f t="shared" si="31"/>
        <v>301638.37939989346</v>
      </c>
    </row>
    <row r="72" spans="1:2" x14ac:dyDescent="0.3">
      <c r="A72" s="58" t="str">
        <f t="shared" si="30"/>
        <v>Ściana 1, Okna 2, Podłoga 2, Dach 2</v>
      </c>
      <c r="B72" s="48">
        <f t="shared" si="31"/>
        <v>314045.41939989349</v>
      </c>
    </row>
    <row r="73" spans="1:2" x14ac:dyDescent="0.3">
      <c r="A73" s="58" t="str">
        <f t="shared" si="30"/>
        <v>Ściana 2, Okna 1, Podłoga 1, Dach 1</v>
      </c>
      <c r="B73" s="48">
        <f t="shared" si="31"/>
        <v>306676.50167348282</v>
      </c>
    </row>
    <row r="74" spans="1:2" x14ac:dyDescent="0.3">
      <c r="A74" s="58" t="str">
        <f t="shared" si="30"/>
        <v>Ściana 2, Okna 1, Podłoga 1, Dach 2</v>
      </c>
      <c r="B74" s="48">
        <f t="shared" si="31"/>
        <v>319083.54167348286</v>
      </c>
    </row>
    <row r="75" spans="1:2" x14ac:dyDescent="0.3">
      <c r="A75" s="58" t="str">
        <f t="shared" si="30"/>
        <v>Ściana 2, Okna 1, Podłoga 2, Dach 1</v>
      </c>
      <c r="B75" s="48">
        <f t="shared" si="31"/>
        <v>306484.83554697072</v>
      </c>
    </row>
    <row r="76" spans="1:2" x14ac:dyDescent="0.3">
      <c r="A76" s="58" t="str">
        <f t="shared" si="30"/>
        <v>Ściana 2, Okna 1, Podłoga 2, Dach 2</v>
      </c>
      <c r="B76" s="48">
        <f t="shared" si="31"/>
        <v>318891.87554697075</v>
      </c>
    </row>
    <row r="77" spans="1:2" x14ac:dyDescent="0.3">
      <c r="A77" s="58" t="str">
        <f t="shared" si="30"/>
        <v>Ściana 2, Okna 2, Podłoga 1, Dach 1</v>
      </c>
      <c r="B77" s="48">
        <f t="shared" si="31"/>
        <v>303272.98167348286</v>
      </c>
    </row>
    <row r="78" spans="1:2" x14ac:dyDescent="0.3">
      <c r="A78" s="58" t="str">
        <f t="shared" si="30"/>
        <v>Ściana 2, Okna 2, Podłoga 1, Dach 2</v>
      </c>
      <c r="B78" s="48">
        <f t="shared" si="31"/>
        <v>315680.02167348284</v>
      </c>
    </row>
    <row r="79" spans="1:2" x14ac:dyDescent="0.3">
      <c r="A79" s="58" t="str">
        <f t="shared" si="30"/>
        <v>Ściana 2, Okna 2, Podłoga 2, Dach 1</v>
      </c>
      <c r="B79" s="48">
        <f t="shared" si="31"/>
        <v>303081.3155469707</v>
      </c>
    </row>
    <row r="80" spans="1:2" ht="15" thickBot="1" x14ac:dyDescent="0.35">
      <c r="A80" s="63" t="str">
        <f t="shared" si="30"/>
        <v>Ściana 2, Okna 2, Podłoga 2, Dach 2</v>
      </c>
      <c r="B80" s="151">
        <f t="shared" si="31"/>
        <v>315488.35554697074</v>
      </c>
    </row>
    <row r="83" spans="5:9" x14ac:dyDescent="0.3">
      <c r="H83" s="34"/>
      <c r="I83" s="34"/>
    </row>
    <row r="84" spans="5:9" x14ac:dyDescent="0.3">
      <c r="H84" s="34"/>
      <c r="I84" s="34"/>
    </row>
    <row r="85" spans="5:9" x14ac:dyDescent="0.3">
      <c r="H85" s="34"/>
      <c r="I85" s="34"/>
    </row>
    <row r="86" spans="5:9" x14ac:dyDescent="0.3">
      <c r="H86" s="34"/>
      <c r="I86" s="34"/>
    </row>
    <row r="87" spans="5:9" x14ac:dyDescent="0.3">
      <c r="H87" s="34"/>
      <c r="I87" s="34"/>
    </row>
    <row r="88" spans="5:9" x14ac:dyDescent="0.3">
      <c r="H88" s="34"/>
      <c r="I88" s="34"/>
    </row>
    <row r="89" spans="5:9" x14ac:dyDescent="0.3">
      <c r="H89" s="34"/>
      <c r="I89" s="34"/>
    </row>
    <row r="90" spans="5:9" x14ac:dyDescent="0.3">
      <c r="H90" s="34"/>
      <c r="I90" s="34"/>
    </row>
    <row r="91" spans="5:9" x14ac:dyDescent="0.3">
      <c r="H91" s="34"/>
      <c r="I91" s="34"/>
    </row>
    <row r="92" spans="5:9" x14ac:dyDescent="0.3">
      <c r="E92" s="34"/>
      <c r="F92" s="34"/>
      <c r="G92" s="34"/>
      <c r="H92" s="34"/>
      <c r="I92" s="34"/>
    </row>
    <row r="93" spans="5:9" x14ac:dyDescent="0.3">
      <c r="E93" s="34"/>
      <c r="F93" s="34"/>
      <c r="G93" s="34"/>
      <c r="H93" s="34"/>
      <c r="I93" s="34"/>
    </row>
    <row r="94" spans="5:9" x14ac:dyDescent="0.3">
      <c r="E94" s="34"/>
      <c r="F94" s="34"/>
      <c r="G94" s="34"/>
      <c r="H94" s="34"/>
      <c r="I94" s="34"/>
    </row>
  </sheetData>
  <mergeCells count="2">
    <mergeCell ref="B44:E44"/>
    <mergeCell ref="G44:J44"/>
  </mergeCells>
  <conditionalFormatting sqref="F46:F61">
    <cfRule type="colorScale" priority="4">
      <colorScale>
        <cfvo type="min"/>
        <cfvo type="max"/>
        <color rgb="FF92D050"/>
        <color rgb="FFFF0000"/>
      </colorScale>
    </cfRule>
  </conditionalFormatting>
  <conditionalFormatting sqref="K46:K61">
    <cfRule type="colorScale" priority="3">
      <colorScale>
        <cfvo type="min"/>
        <cfvo type="max"/>
        <color rgb="FF92D050"/>
        <color rgb="FFFF0000"/>
      </colorScale>
    </cfRule>
  </conditionalFormatting>
  <conditionalFormatting sqref="B65:B80">
    <cfRule type="colorScale" priority="2">
      <colorScale>
        <cfvo type="min"/>
        <cfvo type="max"/>
        <color rgb="FF92D050"/>
        <color rgb="FFFF0000"/>
      </colorScale>
    </cfRule>
  </conditionalFormatting>
  <conditionalFormatting sqref="G15:G23">
    <cfRule type="colorScale" priority="1">
      <colorScale>
        <cfvo type="min"/>
        <cfvo type="max"/>
        <color rgb="FF92D050"/>
        <color rgb="FFFF0000"/>
      </colorScale>
    </cfRule>
  </conditionalFormatting>
  <hyperlinks>
    <hyperlink ref="B1" r:id="rId1" xr:uid="{0C95E758-1947-4343-848E-CC563536B2C0}"/>
  </hyperlinks>
  <pageMargins left="0.7" right="0.7" top="0.75" bottom="0.75" header="0.3" footer="0.3"/>
  <pageSetup paperSize="256" orientation="portrait" horizontalDpi="203" verticalDpi="20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Podstawowe dane</vt:lpstr>
      <vt:lpstr>Analizy opłacalności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2022-05-06T06:21:57Z</dcterms:modified>
</cp:coreProperties>
</file>