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3920" windowHeight="748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31" i="1"/>
  <c r="G32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C72"/>
  <c r="C73" s="1"/>
  <c r="B32"/>
  <c r="C32" l="1"/>
  <c r="D32" s="1"/>
  <c r="E61"/>
  <c r="B33"/>
  <c r="D33" l="1"/>
  <c r="E32"/>
  <c r="F32" s="1"/>
  <c r="I32" s="1"/>
  <c r="B34"/>
  <c r="C33"/>
  <c r="D34" l="1"/>
  <c r="E33"/>
  <c r="F33" s="1"/>
  <c r="I33" s="1"/>
  <c r="B35"/>
  <c r="C34"/>
  <c r="E34" l="1"/>
  <c r="F34" s="1"/>
  <c r="I34" s="1"/>
  <c r="B36"/>
  <c r="C35"/>
  <c r="D35" s="1"/>
  <c r="E35" s="1"/>
  <c r="F35" s="1"/>
  <c r="I35" l="1"/>
  <c r="D36"/>
  <c r="B37"/>
  <c r="C36"/>
  <c r="E36" l="1"/>
  <c r="F36" s="1"/>
  <c r="I36" s="1"/>
  <c r="B38"/>
  <c r="C37"/>
  <c r="D37" s="1"/>
  <c r="D38" l="1"/>
  <c r="E38" s="1"/>
  <c r="F38" s="1"/>
  <c r="E37"/>
  <c r="F37" s="1"/>
  <c r="I37" s="1"/>
  <c r="B39"/>
  <c r="C38"/>
  <c r="I38" l="1"/>
  <c r="D39"/>
  <c r="B40"/>
  <c r="C39"/>
  <c r="D40" l="1"/>
  <c r="E40" s="1"/>
  <c r="F40" s="1"/>
  <c r="E39"/>
  <c r="F39" s="1"/>
  <c r="I39" s="1"/>
  <c r="B41"/>
  <c r="C40"/>
  <c r="I40" l="1"/>
  <c r="D41"/>
  <c r="B42"/>
  <c r="C41"/>
  <c r="D42" l="1"/>
  <c r="E42" s="1"/>
  <c r="F42" s="1"/>
  <c r="E41"/>
  <c r="F41" s="1"/>
  <c r="I41" s="1"/>
  <c r="B43"/>
  <c r="C42"/>
  <c r="I42" l="1"/>
  <c r="B44"/>
  <c r="C43"/>
  <c r="D43" s="1"/>
  <c r="E43" s="1"/>
  <c r="F43" s="1"/>
  <c r="I43" l="1"/>
  <c r="D44"/>
  <c r="B45"/>
  <c r="C44"/>
  <c r="D45" l="1"/>
  <c r="E45" s="1"/>
  <c r="F45" s="1"/>
  <c r="E44"/>
  <c r="F44" s="1"/>
  <c r="I44" s="1"/>
  <c r="B46"/>
  <c r="C45"/>
  <c r="I45" l="1"/>
  <c r="D46"/>
  <c r="B47"/>
  <c r="C46"/>
  <c r="D47" l="1"/>
  <c r="E46"/>
  <c r="F46" s="1"/>
  <c r="I46" s="1"/>
  <c r="B48"/>
  <c r="C47"/>
  <c r="D48" l="1"/>
  <c r="E48" s="1"/>
  <c r="F48" s="1"/>
  <c r="E47"/>
  <c r="F47" s="1"/>
  <c r="I47" s="1"/>
  <c r="B49"/>
  <c r="C48"/>
  <c r="I48" l="1"/>
  <c r="D49"/>
  <c r="E49" s="1"/>
  <c r="F49" s="1"/>
  <c r="B50"/>
  <c r="C49"/>
  <c r="I49" l="1"/>
  <c r="B51"/>
  <c r="C50"/>
  <c r="D50" s="1"/>
  <c r="D51" l="1"/>
  <c r="E51" s="1"/>
  <c r="F51" s="1"/>
  <c r="E50"/>
  <c r="F50" s="1"/>
  <c r="I50" s="1"/>
  <c r="B52"/>
  <c r="C51"/>
  <c r="I51" l="1"/>
  <c r="D52"/>
  <c r="B53"/>
  <c r="C52"/>
  <c r="D53" l="1"/>
  <c r="E52"/>
  <c r="F52" s="1"/>
  <c r="I52" s="1"/>
  <c r="B54"/>
  <c r="C53"/>
  <c r="D54" l="1"/>
  <c r="E53"/>
  <c r="F53" s="1"/>
  <c r="I53" s="1"/>
  <c r="B55"/>
  <c r="C54"/>
  <c r="D55" l="1"/>
  <c r="E54"/>
  <c r="F54" s="1"/>
  <c r="I54" s="1"/>
  <c r="B56"/>
  <c r="C55"/>
  <c r="D56" l="1"/>
  <c r="E55"/>
  <c r="F55" s="1"/>
  <c r="I55" s="1"/>
  <c r="C56"/>
  <c r="E56" l="1"/>
  <c r="F56" s="1"/>
  <c r="E60" s="1"/>
  <c r="E62" s="1"/>
  <c r="I56" l="1"/>
  <c r="C58" s="1"/>
</calcChain>
</file>

<file path=xl/sharedStrings.xml><?xml version="1.0" encoding="utf-8"?>
<sst xmlns="http://schemas.openxmlformats.org/spreadsheetml/2006/main" count="52" uniqueCount="51">
  <si>
    <t>ROK</t>
  </si>
  <si>
    <t>kWh</t>
  </si>
  <si>
    <t>% rocznie</t>
  </si>
  <si>
    <t>Sugerowany wzrost cen prądu</t>
  </si>
  <si>
    <t xml:space="preserve">Spadek efektywności działania paneli </t>
  </si>
  <si>
    <t>Aktualne roczne zużycie prądu</t>
  </si>
  <si>
    <t>złotych brutto</t>
  </si>
  <si>
    <t>zł</t>
  </si>
  <si>
    <t>Wykorzystanie energii w ciągu dnia</t>
  </si>
  <si>
    <t>Produkcja z 1 kWp</t>
  </si>
  <si>
    <t>Całkowity koszt energii elektrycznej bez fotowoltaiki</t>
  </si>
  <si>
    <t>Kilka informacji:</t>
  </si>
  <si>
    <t>Powyższy arkusz bierze pod uwagę kilka współczynników: wzrost cen prądu, spadek uzysku paneli i wykorzystanie energii w dzień.</t>
  </si>
  <si>
    <t>Liczba instalowanych kWp</t>
  </si>
  <si>
    <t>Cena instalacji (za 1 kWp)</t>
  </si>
  <si>
    <t>% rocznie (średnia to 0,8% rocznie czyli spadek efektywności paneli o  20% w ciągu 25 lat)</t>
  </si>
  <si>
    <t>Warto uwzględnić jeszcze to, że zamiast inwestycji w panele, kwotę można wrzucić po prostu na lokatę. Prosta symulacja:</t>
  </si>
  <si>
    <t>Całkowity koszt instalacji fotowoltaicznej</t>
  </si>
  <si>
    <t>% rocznie na lokacie, po 25 latach przyniesie:</t>
  </si>
  <si>
    <t>SYMULACJA (25 lat)</t>
  </si>
  <si>
    <t>Kolor żółty: dane do edycji.</t>
  </si>
  <si>
    <t>Zysk z instalacji fotowoltaicznej (ujemna kwota lub niewielka oszczędność oznacza, że  instalacja jest prawdopodobnie przewymiarowana lub po prostu za droga)</t>
  </si>
  <si>
    <t>Całkowity koszt instalacji fotowoltaiki oraz energii elektrycznej (włącznie z kosztami stałymi)</t>
  </si>
  <si>
    <t>Pozdrawiam,</t>
  </si>
  <si>
    <t>blog.poradnik-budowlany.com</t>
  </si>
  <si>
    <t>Stały koszt energii (rocznie)</t>
  </si>
  <si>
    <t>Przed wypełnieniem arkusza zapoznaj się z moim artykułem:</t>
  </si>
  <si>
    <t>Wyjaśnienie arkusza:</t>
  </si>
  <si>
    <t xml:space="preserve">kWh. </t>
  </si>
  <si>
    <t>Poniższy arkusz służy do oszacowania opłacalności inwestycji w fotowoltaikę w okresie 25 lat.</t>
  </si>
  <si>
    <t>W komórce C16 (Produkcja z 1 kWp) należy wpisać realny uzysk. Wartość zależy od lokalizacji, stron świata, zacienienia, jakości paneli itp.. Średnia w Polsce to 950 kWh. W Twojej lokalizacji może to być zarówno mniej (np.. 900 kWh), jak i więcej (1050 kWh). Tę wartość poda firma zajmująca się montażem paneli lub mozesz ją uzyskać na tej stronie: http://re.jrc.ec.europa.eu/pvgis/apps4/pvest.php?lang=en&amp;map=%20europe -</t>
  </si>
  <si>
    <t xml:space="preserve">% </t>
  </si>
  <si>
    <t>W komórce C22 (wykorzystanie energii w ciągu dnia) jest wpisane 40%. To średnia wartość wykorzystania energii w ciągu dnia w skali całego roku. Zmień tę wartość na większą, jeżeli pracujesz często w domu (wpisz np. 50%) lub mniejszą, jeżeli głównie przebywasz poza domem i wykorzystujesz energię wtedy, kiedy panele nie działają (np. 25%)</t>
  </si>
  <si>
    <t>Dla porównania roczny koszt zakupu energii elektrycznej bez posiadania paneli fotowoltaicznych (uwzględnia wzrost cen energii)
(ZŁ)</t>
  </si>
  <si>
    <t>Zmienny koszt energii (za 1 kWh)</t>
  </si>
  <si>
    <t xml:space="preserve">Podane liczby są przykładowe. </t>
  </si>
  <si>
    <t>W komórce C14 (cena instalacji) należy wpisać całkowity koszt zainstalowania paneli o 1 kWp. Jeżeli panele bierzemy na kredyt to należy uwzględnić koszt kredytu i odsetki. Cena za 1 kWp waha się między 4500 a 6000 zł w zależności od instalacji.</t>
  </si>
  <si>
    <t xml:space="preserve">Roczna produkcja z uwzględnieniem spadku uzysku (kWh) </t>
  </si>
  <si>
    <t>Szacunkowe roczne wykorzystanie energii w dzień, gdy panele działają (kWh)</t>
  </si>
  <si>
    <t xml:space="preserve">Roczna nadwyżka do wykorzystania: - uwzględniono 20% "opłaty" dla zakładu energetycznego 
(kWh) </t>
  </si>
  <si>
    <t>Tyle energii należy rocznie dokupić od zakładu energetycznego 
(kWh)</t>
  </si>
  <si>
    <t>Roczny koszt zakupu tej dokupionej energii  (uwzględnia wzrost cen energii)
 (ZŁ)</t>
  </si>
  <si>
    <t>oszczędności (uwzględniając podatek)</t>
  </si>
  <si>
    <t>Sławomir Zając</t>
  </si>
  <si>
    <t>Instalacja zwróci się w…</t>
  </si>
  <si>
    <t>lat</t>
  </si>
  <si>
    <t>Wartość powyżej 15 oznacza, że instalacja jest prawdopodobnie przewymiarowana lub wprowadzono błędne dane</t>
  </si>
  <si>
    <t>https://blog.poradnik-budowlany.com/panele-fotowoltaiczne-czy-warto-kupic-panele-fotowoltaiczne/</t>
  </si>
  <si>
    <t>Wpsana wartość "2,5%" przy wzrośnie ceny prądu to wartości szacunkowe. Jeżeli uważasz, że ceny prądu nie wzrosną lub chcesz zobaczyć jak wygląda opłacalność fotowoltaiki bez tego parametru - wpisz "0".</t>
  </si>
  <si>
    <t>Nie jest także możliwe dokładne policzenie bieżącego wykorzystania energii z paneli (np. zużywamy mniej energii wygenerowanej w ciągu dnia zimą), ale nie zmienia to ostatecznego wyniku. Wpisz w komórce C23 inne wartości.</t>
  </si>
  <si>
    <t xml:space="preserve">Trzeba też pamiętać, że po 25 latach panele dalej działają i generują oszczędności. Nie liczę tego jednak i zostawiam pewien margines bezpieczeństwa na wypadek np. awarii. Może się okazać, że w którymś roku cała jednoroczna oszczędność zostanie przeznaczona na przykład na naprawę inwertera.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</si>
</sst>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[$zł-415]_-;\-* #,##0.00\ [$zł-415]_-;_-* &quot;-&quot;??\ [$zł-415]_-;_-@_-"/>
  </numFmts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i/>
      <sz val="11"/>
      <color rgb="FF7F7F7F"/>
      <name val="Czcionka tekstu podstawowego"/>
      <family val="2"/>
      <charset val="238"/>
    </font>
    <font>
      <u/>
      <sz val="9.35"/>
      <color theme="1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2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2"/>
      <color rgb="FF7F7F7F"/>
      <name val="Czcionka tekstu podstawowego"/>
      <charset val="238"/>
    </font>
    <font>
      <b/>
      <i/>
      <sz val="12"/>
      <color rgb="FFFF0000"/>
      <name val="Czcionka tekstu podstawowego"/>
      <charset val="238"/>
    </font>
    <font>
      <sz val="12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/>
    <xf numFmtId="165" fontId="0" fillId="0" borderId="0" xfId="0" applyNumberFormat="1"/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2" applyAlignment="1" applyProtection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165" fontId="0" fillId="0" borderId="0" xfId="0" applyNumberFormat="1" applyAlignment="1">
      <alignment wrapText="1"/>
    </xf>
    <xf numFmtId="0" fontId="2" fillId="0" borderId="0" xfId="1"/>
    <xf numFmtId="164" fontId="2" fillId="0" borderId="0" xfId="1" applyNumberFormat="1" applyAlignment="1">
      <alignment horizontal="center"/>
    </xf>
    <xf numFmtId="2" fontId="2" fillId="0" borderId="0" xfId="1" applyNumberFormat="1"/>
    <xf numFmtId="165" fontId="2" fillId="0" borderId="0" xfId="1" applyNumberFormat="1" applyAlignment="1">
      <alignment horizontal="center"/>
    </xf>
    <xf numFmtId="165" fontId="2" fillId="0" borderId="0" xfId="1" applyNumberFormat="1" applyAlignme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6" fillId="0" borderId="0" xfId="0" applyFont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6" xfId="0" applyFont="1" applyBorder="1"/>
    <xf numFmtId="164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2" fontId="0" fillId="0" borderId="9" xfId="0" applyNumberFormat="1" applyBorder="1" applyAlignment="1"/>
    <xf numFmtId="2" fontId="0" fillId="0" borderId="0" xfId="0" applyNumberFormat="1" applyBorder="1" applyAlignment="1"/>
    <xf numFmtId="2" fontId="0" fillId="0" borderId="10" xfId="0" applyNumberFormat="1" applyBorder="1" applyAlignment="1"/>
    <xf numFmtId="2" fontId="0" fillId="0" borderId="5" xfId="0" applyNumberFormat="1" applyBorder="1" applyAlignment="1"/>
    <xf numFmtId="0" fontId="0" fillId="0" borderId="11" xfId="0" applyBorder="1"/>
    <xf numFmtId="2" fontId="0" fillId="0" borderId="12" xfId="0" applyNumberFormat="1" applyBorder="1" applyAlignment="1"/>
    <xf numFmtId="2" fontId="0" fillId="0" borderId="13" xfId="0" applyNumberFormat="1" applyBorder="1" applyAlignment="1"/>
    <xf numFmtId="164" fontId="0" fillId="0" borderId="0" xfId="0" applyNumberFormat="1" applyBorder="1"/>
    <xf numFmtId="2" fontId="0" fillId="0" borderId="0" xfId="0" applyNumberFormat="1" applyBorder="1"/>
    <xf numFmtId="0" fontId="0" fillId="0" borderId="0" xfId="0" applyAlignment="1">
      <alignment horizontal="left" wrapText="1"/>
    </xf>
    <xf numFmtId="164" fontId="1" fillId="0" borderId="0" xfId="0" applyNumberFormat="1" applyFont="1"/>
    <xf numFmtId="0" fontId="7" fillId="0" borderId="0" xfId="0" applyFont="1"/>
    <xf numFmtId="164" fontId="8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164" fontId="7" fillId="0" borderId="0" xfId="0" applyNumberFormat="1" applyFont="1" applyAlignment="1">
      <alignment horizontal="center"/>
    </xf>
    <xf numFmtId="165" fontId="10" fillId="0" borderId="0" xfId="0" applyNumberFormat="1" applyFont="1"/>
    <xf numFmtId="0" fontId="10" fillId="3" borderId="0" xfId="0" applyFont="1" applyFill="1" applyAlignment="1">
      <alignment horizontal="left" wrapText="1"/>
    </xf>
    <xf numFmtId="165" fontId="7" fillId="3" borderId="0" xfId="0" applyNumberFormat="1" applyFont="1" applyFill="1"/>
  </cellXfs>
  <cellStyles count="3">
    <cellStyle name="Hiperłącze" xfId="2" builtinId="8"/>
    <cellStyle name="Normalny" xfId="0" builtinId="0"/>
    <cellStyle name="Tekst objaśnienia" xfId="1" builtin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78"/>
  <sheetViews>
    <sheetView tabSelected="1" topLeftCell="A46" zoomScale="115" zoomScaleNormal="115" workbookViewId="0">
      <selection activeCell="A69" sqref="A69"/>
    </sheetView>
  </sheetViews>
  <sheetFormatPr defaultRowHeight="14.25"/>
  <cols>
    <col min="2" max="2" width="32.75" customWidth="1"/>
    <col min="3" max="3" width="17" customWidth="1"/>
    <col min="4" max="4" width="20.625" customWidth="1"/>
    <col min="5" max="5" width="15.625" customWidth="1"/>
    <col min="6" max="6" width="17.75" customWidth="1"/>
    <col min="7" max="7" width="20.75" customWidth="1"/>
    <col min="8" max="8" width="23.75" style="1" customWidth="1"/>
    <col min="9" max="9" width="23.75" style="3" hidden="1" customWidth="1"/>
    <col min="10" max="11" width="23.75" style="3" customWidth="1"/>
    <col min="13" max="13" width="20.875" customWidth="1"/>
    <col min="14" max="14" width="22.625" customWidth="1"/>
  </cols>
  <sheetData>
    <row r="2" spans="1:11">
      <c r="A2" t="s">
        <v>29</v>
      </c>
    </row>
    <row r="3" spans="1:11">
      <c r="A3" t="s">
        <v>26</v>
      </c>
    </row>
    <row r="4" spans="1:11">
      <c r="A4" s="13" t="s">
        <v>47</v>
      </c>
      <c r="B4" s="1"/>
    </row>
    <row r="5" spans="1:11">
      <c r="A5" s="13"/>
      <c r="B5" s="1"/>
    </row>
    <row r="6" spans="1:11" ht="15">
      <c r="A6" s="56" t="s">
        <v>27</v>
      </c>
    </row>
    <row r="7" spans="1:11">
      <c r="A7" s="1"/>
    </row>
    <row r="8" spans="1:11">
      <c r="A8" s="1" t="s">
        <v>35</v>
      </c>
    </row>
    <row r="9" spans="1:11">
      <c r="A9" s="1" t="s">
        <v>36</v>
      </c>
    </row>
    <row r="10" spans="1:11">
      <c r="A10" s="1" t="s">
        <v>30</v>
      </c>
    </row>
    <row r="11" spans="1:11">
      <c r="A11" s="1" t="s">
        <v>32</v>
      </c>
    </row>
    <row r="12" spans="1:11">
      <c r="A12" s="13"/>
      <c r="B12" s="1"/>
    </row>
    <row r="13" spans="1:11" ht="15" thickBot="1">
      <c r="A13" s="13"/>
      <c r="B13" s="1"/>
    </row>
    <row r="14" spans="1:11" ht="15">
      <c r="B14" s="36" t="s">
        <v>20</v>
      </c>
      <c r="C14" s="42"/>
      <c r="D14" s="37"/>
      <c r="E14" s="37"/>
      <c r="F14" s="38"/>
      <c r="G14" s="50"/>
      <c r="H14" s="53"/>
      <c r="I14" s="54"/>
      <c r="J14" s="54"/>
      <c r="K14" s="54"/>
    </row>
    <row r="15" spans="1:11">
      <c r="B15" s="39" t="s">
        <v>14</v>
      </c>
      <c r="C15" s="43">
        <v>5500</v>
      </c>
      <c r="D15" s="46" t="s">
        <v>6</v>
      </c>
      <c r="E15" s="47"/>
      <c r="F15" s="47"/>
      <c r="G15" s="51"/>
      <c r="H15" s="47"/>
      <c r="I15" s="47"/>
      <c r="J15" s="47"/>
      <c r="K15" s="47"/>
    </row>
    <row r="16" spans="1:11">
      <c r="B16" s="39" t="s">
        <v>13</v>
      </c>
      <c r="C16" s="43">
        <v>4</v>
      </c>
      <c r="D16" s="46"/>
      <c r="E16" s="47"/>
      <c r="F16" s="47"/>
      <c r="G16" s="51"/>
      <c r="H16" s="47"/>
      <c r="I16" s="47"/>
      <c r="J16" s="47"/>
      <c r="K16" s="47"/>
    </row>
    <row r="17" spans="1:13">
      <c r="B17" s="39" t="s">
        <v>9</v>
      </c>
      <c r="C17" s="43">
        <v>950</v>
      </c>
      <c r="D17" s="46" t="s">
        <v>28</v>
      </c>
      <c r="E17" s="47"/>
      <c r="F17" s="47"/>
      <c r="G17" s="51"/>
      <c r="H17" s="47"/>
      <c r="I17" s="47"/>
      <c r="J17" s="47"/>
      <c r="K17" s="47"/>
    </row>
    <row r="18" spans="1:13">
      <c r="B18" s="39" t="s">
        <v>5</v>
      </c>
      <c r="C18" s="43">
        <v>3000</v>
      </c>
      <c r="D18" s="46" t="s">
        <v>1</v>
      </c>
      <c r="E18" s="47"/>
      <c r="F18" s="47"/>
      <c r="G18" s="51"/>
      <c r="H18" s="47"/>
      <c r="I18" s="47"/>
      <c r="J18" s="47"/>
      <c r="K18" s="47"/>
    </row>
    <row r="19" spans="1:13">
      <c r="B19" s="39" t="s">
        <v>34</v>
      </c>
      <c r="C19" s="44">
        <v>0.55000000000000004</v>
      </c>
      <c r="D19" s="46" t="s">
        <v>7</v>
      </c>
      <c r="E19" s="47"/>
      <c r="F19" s="47"/>
      <c r="G19" s="51"/>
      <c r="H19" s="47"/>
      <c r="I19" s="47"/>
      <c r="J19" s="47"/>
      <c r="K19" s="47"/>
    </row>
    <row r="20" spans="1:13">
      <c r="B20" s="39" t="s">
        <v>25</v>
      </c>
      <c r="C20" s="44">
        <v>180</v>
      </c>
      <c r="D20" s="46" t="s">
        <v>7</v>
      </c>
      <c r="E20" s="47"/>
      <c r="F20" s="47"/>
      <c r="G20" s="51"/>
      <c r="H20" s="47"/>
      <c r="I20" s="47"/>
      <c r="J20" s="47"/>
      <c r="K20" s="47"/>
    </row>
    <row r="21" spans="1:13">
      <c r="B21" s="39" t="s">
        <v>3</v>
      </c>
      <c r="C21" s="44">
        <v>2.5</v>
      </c>
      <c r="D21" s="46" t="s">
        <v>2</v>
      </c>
      <c r="E21" s="47"/>
      <c r="F21" s="47"/>
      <c r="G21" s="51"/>
      <c r="H21" s="47"/>
      <c r="I21" s="47"/>
      <c r="J21" s="47"/>
      <c r="K21" s="47"/>
    </row>
    <row r="22" spans="1:13">
      <c r="B22" s="40" t="s">
        <v>4</v>
      </c>
      <c r="C22" s="44">
        <v>0.8</v>
      </c>
      <c r="D22" s="46" t="s">
        <v>15</v>
      </c>
      <c r="E22" s="47"/>
      <c r="F22" s="47"/>
      <c r="G22" s="51"/>
      <c r="H22" s="47"/>
      <c r="I22" s="47"/>
      <c r="J22" s="47"/>
      <c r="K22" s="47"/>
    </row>
    <row r="23" spans="1:13" ht="15" thickBot="1">
      <c r="B23" s="41" t="s">
        <v>8</v>
      </c>
      <c r="C23" s="45">
        <v>40</v>
      </c>
      <c r="D23" s="48" t="s">
        <v>31</v>
      </c>
      <c r="E23" s="49"/>
      <c r="F23" s="49"/>
      <c r="G23" s="52"/>
      <c r="H23" s="47"/>
      <c r="I23" s="47"/>
      <c r="J23" s="47"/>
      <c r="K23" s="47"/>
    </row>
    <row r="24" spans="1:13">
      <c r="B24" s="5"/>
      <c r="C24" s="34"/>
      <c r="D24" s="34"/>
      <c r="E24" s="34"/>
      <c r="F24" s="5"/>
      <c r="G24" s="5"/>
      <c r="H24" s="35"/>
      <c r="I24" s="34"/>
      <c r="J24" s="34"/>
      <c r="K24" s="34"/>
    </row>
    <row r="25" spans="1:13">
      <c r="C25" s="5"/>
      <c r="D25" s="34"/>
      <c r="E25" s="34"/>
      <c r="F25" s="5"/>
      <c r="G25" s="5"/>
      <c r="H25" s="35"/>
      <c r="I25" s="34"/>
      <c r="J25" s="34"/>
      <c r="K25" s="34"/>
    </row>
    <row r="26" spans="1:13">
      <c r="C26" s="5"/>
      <c r="D26" s="34"/>
      <c r="E26" s="34"/>
      <c r="F26" s="5"/>
      <c r="G26" s="5"/>
      <c r="H26" s="35"/>
      <c r="I26" s="34"/>
      <c r="J26" s="34"/>
      <c r="K26" s="34"/>
    </row>
    <row r="27" spans="1:13">
      <c r="C27" s="5"/>
      <c r="D27" s="3"/>
      <c r="E27" s="3"/>
    </row>
    <row r="28" spans="1:13">
      <c r="C28" s="2"/>
      <c r="D28" s="2"/>
      <c r="E28" s="2"/>
      <c r="F28" s="2"/>
      <c r="G28" s="2"/>
      <c r="H28"/>
    </row>
    <row r="29" spans="1:13" ht="26.25">
      <c r="A29" s="33" t="s">
        <v>19</v>
      </c>
      <c r="C29" s="2"/>
      <c r="D29" s="2"/>
      <c r="E29" s="2"/>
      <c r="F29" s="2"/>
      <c r="G29" s="2"/>
      <c r="H29"/>
    </row>
    <row r="30" spans="1:13" ht="6" customHeight="1">
      <c r="C30" s="17"/>
      <c r="D30" s="17"/>
      <c r="E30" s="17"/>
      <c r="F30" s="17"/>
      <c r="G30" s="17"/>
      <c r="H30" s="18"/>
      <c r="J30" s="9"/>
    </row>
    <row r="31" spans="1:13" ht="142.5" customHeight="1">
      <c r="A31" s="31" t="s">
        <v>0</v>
      </c>
      <c r="B31" s="32" t="s">
        <v>37</v>
      </c>
      <c r="C31" s="32" t="s">
        <v>38</v>
      </c>
      <c r="D31" s="32" t="s">
        <v>39</v>
      </c>
      <c r="E31" s="32" t="s">
        <v>40</v>
      </c>
      <c r="F31" s="32" t="s">
        <v>41</v>
      </c>
      <c r="G31" s="32" t="s">
        <v>33</v>
      </c>
      <c r="H31" s="20"/>
      <c r="I31" s="19">
        <f>C15*C16</f>
        <v>22000</v>
      </c>
      <c r="J31" s="9"/>
      <c r="K31" s="8"/>
      <c r="M31" s="6"/>
    </row>
    <row r="32" spans="1:13" ht="37.5" customHeight="1">
      <c r="A32" s="26">
        <v>1</v>
      </c>
      <c r="B32" s="27">
        <f>$C$17*$C$16</f>
        <v>3800</v>
      </c>
      <c r="C32" s="27">
        <f t="shared" ref="C32:C56" si="0">$C$23%*B32</f>
        <v>1520</v>
      </c>
      <c r="D32" s="27">
        <f>(B32-C32)*0.8</f>
        <v>1824</v>
      </c>
      <c r="E32" s="28">
        <f t="shared" ref="E32:E56" si="1">IF($C$18-D32-C32&gt;0,$C$18-D32-C32,0)</f>
        <v>0</v>
      </c>
      <c r="F32" s="29">
        <f>E32*$C$19+$C$20</f>
        <v>180</v>
      </c>
      <c r="G32" s="30">
        <f>$C$18*$C$19+$C$20</f>
        <v>1830.0000000000002</v>
      </c>
      <c r="H32" s="15"/>
      <c r="I32" s="16">
        <f>IF(I31-(G32-F32)&gt;0,I31-(G32-F32),0)</f>
        <v>20350</v>
      </c>
      <c r="J32" s="16"/>
      <c r="K32" s="7"/>
      <c r="M32" s="1"/>
    </row>
    <row r="33" spans="1:16">
      <c r="A33" s="26">
        <v>2</v>
      </c>
      <c r="B33" s="27">
        <f t="shared" ref="B33:B56" si="2">B32-B32*$C$22%</f>
        <v>3769.6</v>
      </c>
      <c r="C33" s="27">
        <f t="shared" si="0"/>
        <v>1507.8400000000001</v>
      </c>
      <c r="D33" s="27">
        <f>(B33-C33)*0.8</f>
        <v>1809.4079999999999</v>
      </c>
      <c r="E33" s="28">
        <f t="shared" si="1"/>
        <v>0</v>
      </c>
      <c r="F33" s="29">
        <f t="shared" ref="F33:F56" si="3">(E33*$C$19+$C$20)*(100+$C$21)%^(A33-1)</f>
        <v>184.49999999999997</v>
      </c>
      <c r="G33" s="30">
        <f t="shared" ref="G33:G56" si="4">G32*(100+$C$21)%</f>
        <v>1875.75</v>
      </c>
      <c r="H33" s="15"/>
      <c r="I33" s="16">
        <f t="shared" ref="I33:I56" si="5">IF(I32-(G33-F33)&gt;0,I32-(G33-F33),0)</f>
        <v>18658.75</v>
      </c>
      <c r="J33" s="16"/>
      <c r="K33" s="7"/>
      <c r="M33" s="1"/>
      <c r="P33" s="1"/>
    </row>
    <row r="34" spans="1:16">
      <c r="A34" s="26">
        <v>3</v>
      </c>
      <c r="B34" s="27">
        <f t="shared" si="2"/>
        <v>3739.4431999999997</v>
      </c>
      <c r="C34" s="27">
        <f t="shared" si="0"/>
        <v>1495.77728</v>
      </c>
      <c r="D34" s="27">
        <f t="shared" ref="D34:D56" si="6">(B34-C34)*0.8</f>
        <v>1794.9327359999997</v>
      </c>
      <c r="E34" s="28">
        <f t="shared" si="1"/>
        <v>0</v>
      </c>
      <c r="F34" s="29">
        <f t="shared" si="3"/>
        <v>189.11249999999998</v>
      </c>
      <c r="G34" s="30">
        <f t="shared" si="4"/>
        <v>1922.6437499999997</v>
      </c>
      <c r="H34" s="15"/>
      <c r="I34" s="16">
        <f t="shared" si="5"/>
        <v>16925.21875</v>
      </c>
      <c r="J34" s="16"/>
      <c r="K34" s="7"/>
      <c r="M34" s="1"/>
      <c r="P34" s="1"/>
    </row>
    <row r="35" spans="1:16">
      <c r="A35" s="26">
        <v>4</v>
      </c>
      <c r="B35" s="27">
        <f t="shared" si="2"/>
        <v>3709.5276543999998</v>
      </c>
      <c r="C35" s="27">
        <f t="shared" si="0"/>
        <v>1483.81106176</v>
      </c>
      <c r="D35" s="27">
        <f t="shared" si="6"/>
        <v>1780.573274112</v>
      </c>
      <c r="E35" s="28">
        <f t="shared" si="1"/>
        <v>0</v>
      </c>
      <c r="F35" s="29">
        <f t="shared" si="3"/>
        <v>193.84031249999998</v>
      </c>
      <c r="G35" s="30">
        <f t="shared" si="4"/>
        <v>1970.7098437499994</v>
      </c>
      <c r="H35" s="15"/>
      <c r="I35" s="16">
        <f t="shared" si="5"/>
        <v>15148.349218750001</v>
      </c>
      <c r="J35" s="16"/>
      <c r="K35" s="7"/>
      <c r="M35" s="1"/>
    </row>
    <row r="36" spans="1:16">
      <c r="A36" s="26">
        <v>5</v>
      </c>
      <c r="B36" s="27">
        <f t="shared" si="2"/>
        <v>3679.8514331647998</v>
      </c>
      <c r="C36" s="27">
        <f t="shared" si="0"/>
        <v>1471.94057326592</v>
      </c>
      <c r="D36" s="27">
        <f t="shared" si="6"/>
        <v>1766.3286879191037</v>
      </c>
      <c r="E36" s="28">
        <f t="shared" si="1"/>
        <v>0</v>
      </c>
      <c r="F36" s="29">
        <f t="shared" si="3"/>
        <v>198.68632031249996</v>
      </c>
      <c r="G36" s="30">
        <f t="shared" si="4"/>
        <v>2019.9775898437492</v>
      </c>
      <c r="H36" s="15"/>
      <c r="I36" s="16">
        <f t="shared" si="5"/>
        <v>13327.057949218752</v>
      </c>
      <c r="J36" s="16"/>
      <c r="K36" s="7"/>
      <c r="M36" s="1"/>
      <c r="P36" s="1"/>
    </row>
    <row r="37" spans="1:16">
      <c r="A37" s="26">
        <v>6</v>
      </c>
      <c r="B37" s="27">
        <f t="shared" si="2"/>
        <v>3650.4126216994814</v>
      </c>
      <c r="C37" s="27">
        <f t="shared" si="0"/>
        <v>1460.1650486797926</v>
      </c>
      <c r="D37" s="27">
        <f t="shared" si="6"/>
        <v>1752.1980584157511</v>
      </c>
      <c r="E37" s="28">
        <f t="shared" si="1"/>
        <v>0</v>
      </c>
      <c r="F37" s="29">
        <f t="shared" si="3"/>
        <v>203.65347832031244</v>
      </c>
      <c r="G37" s="30">
        <f t="shared" si="4"/>
        <v>2070.4770295898429</v>
      </c>
      <c r="H37" s="15"/>
      <c r="I37" s="16">
        <f t="shared" si="5"/>
        <v>11460.234397949222</v>
      </c>
      <c r="J37" s="16"/>
      <c r="K37" s="7"/>
      <c r="M37" s="1"/>
      <c r="P37" s="1"/>
    </row>
    <row r="38" spans="1:16">
      <c r="A38" s="26">
        <v>7</v>
      </c>
      <c r="B38" s="27">
        <f t="shared" si="2"/>
        <v>3621.2093207258854</v>
      </c>
      <c r="C38" s="27">
        <f t="shared" si="0"/>
        <v>1448.4837282903543</v>
      </c>
      <c r="D38" s="27">
        <f t="shared" si="6"/>
        <v>1738.1804739484251</v>
      </c>
      <c r="E38" s="28">
        <f t="shared" si="1"/>
        <v>0</v>
      </c>
      <c r="F38" s="29">
        <f t="shared" si="3"/>
        <v>208.74481527832023</v>
      </c>
      <c r="G38" s="30">
        <f t="shared" si="4"/>
        <v>2122.2389553295889</v>
      </c>
      <c r="H38" s="15"/>
      <c r="I38" s="16">
        <f t="shared" si="5"/>
        <v>9546.7402578979527</v>
      </c>
      <c r="J38" s="16"/>
      <c r="K38" s="7"/>
      <c r="M38" s="1"/>
    </row>
    <row r="39" spans="1:16">
      <c r="A39" s="26">
        <v>8</v>
      </c>
      <c r="B39" s="27">
        <f t="shared" si="2"/>
        <v>3592.2396461600783</v>
      </c>
      <c r="C39" s="27">
        <f t="shared" si="0"/>
        <v>1436.8958584640313</v>
      </c>
      <c r="D39" s="27">
        <f t="shared" si="6"/>
        <v>1724.2750301568376</v>
      </c>
      <c r="E39" s="28">
        <f t="shared" si="1"/>
        <v>0</v>
      </c>
      <c r="F39" s="29">
        <f t="shared" si="3"/>
        <v>213.96343566027824</v>
      </c>
      <c r="G39" s="30">
        <f t="shared" si="4"/>
        <v>2175.2949292128283</v>
      </c>
      <c r="H39" s="15"/>
      <c r="I39" s="16">
        <f t="shared" si="5"/>
        <v>7585.4087643454022</v>
      </c>
      <c r="J39" s="16"/>
      <c r="K39" s="7"/>
      <c r="M39" s="1"/>
    </row>
    <row r="40" spans="1:16">
      <c r="A40" s="26">
        <v>9</v>
      </c>
      <c r="B40" s="27">
        <f t="shared" si="2"/>
        <v>3563.5017289907978</v>
      </c>
      <c r="C40" s="27">
        <f t="shared" si="0"/>
        <v>1425.4006915963191</v>
      </c>
      <c r="D40" s="27">
        <f t="shared" si="6"/>
        <v>1710.4808299155829</v>
      </c>
      <c r="E40" s="28">
        <f t="shared" si="1"/>
        <v>0</v>
      </c>
      <c r="F40" s="29">
        <f t="shared" si="3"/>
        <v>219.31252155178518</v>
      </c>
      <c r="G40" s="30">
        <f t="shared" si="4"/>
        <v>2229.6773024431486</v>
      </c>
      <c r="H40" s="15"/>
      <c r="I40" s="16">
        <f t="shared" si="5"/>
        <v>5575.0439834540393</v>
      </c>
      <c r="J40" s="16"/>
      <c r="K40" s="7"/>
      <c r="M40" s="1"/>
    </row>
    <row r="41" spans="1:16">
      <c r="A41" s="26">
        <v>10</v>
      </c>
      <c r="B41" s="27">
        <f t="shared" si="2"/>
        <v>3534.9937151588715</v>
      </c>
      <c r="C41" s="27">
        <f t="shared" si="0"/>
        <v>1413.9974860635486</v>
      </c>
      <c r="D41" s="27">
        <f t="shared" si="6"/>
        <v>1696.7969832762583</v>
      </c>
      <c r="E41" s="28">
        <f t="shared" si="1"/>
        <v>0</v>
      </c>
      <c r="F41" s="29">
        <f t="shared" si="3"/>
        <v>224.79533459057978</v>
      </c>
      <c r="G41" s="30">
        <f t="shared" si="4"/>
        <v>2285.4192350042272</v>
      </c>
      <c r="H41" s="15"/>
      <c r="I41" s="16">
        <f t="shared" si="5"/>
        <v>3514.420083040392</v>
      </c>
      <c r="J41" s="16"/>
      <c r="K41" s="7"/>
      <c r="M41" s="1"/>
    </row>
    <row r="42" spans="1:16">
      <c r="A42" s="26">
        <v>11</v>
      </c>
      <c r="B42" s="27">
        <f t="shared" si="2"/>
        <v>3506.7137654376006</v>
      </c>
      <c r="C42" s="27">
        <f t="shared" si="0"/>
        <v>1402.6855061750402</v>
      </c>
      <c r="D42" s="27">
        <f t="shared" si="6"/>
        <v>1683.2226074100483</v>
      </c>
      <c r="E42" s="28">
        <f t="shared" si="1"/>
        <v>0</v>
      </c>
      <c r="F42" s="29">
        <f t="shared" si="3"/>
        <v>230.41521795534427</v>
      </c>
      <c r="G42" s="30">
        <f t="shared" si="4"/>
        <v>2342.5547158793324</v>
      </c>
      <c r="H42" s="15"/>
      <c r="I42" s="16">
        <f t="shared" si="5"/>
        <v>1402.2805851164039</v>
      </c>
      <c r="J42" s="16"/>
      <c r="K42" s="7"/>
      <c r="M42" s="1"/>
    </row>
    <row r="43" spans="1:16">
      <c r="A43" s="26">
        <v>12</v>
      </c>
      <c r="B43" s="27">
        <f t="shared" si="2"/>
        <v>3478.6600553140997</v>
      </c>
      <c r="C43" s="27">
        <f t="shared" si="0"/>
        <v>1391.46402212564</v>
      </c>
      <c r="D43" s="27">
        <f t="shared" si="6"/>
        <v>1669.756826550768</v>
      </c>
      <c r="E43" s="28">
        <f t="shared" si="1"/>
        <v>0</v>
      </c>
      <c r="F43" s="29">
        <f t="shared" si="3"/>
        <v>236.17559840422788</v>
      </c>
      <c r="G43" s="30">
        <f t="shared" si="4"/>
        <v>2401.1185837763155</v>
      </c>
      <c r="H43" s="15"/>
      <c r="I43" s="16">
        <f t="shared" si="5"/>
        <v>0</v>
      </c>
      <c r="J43" s="16"/>
      <c r="K43" s="7"/>
      <c r="M43" s="1"/>
    </row>
    <row r="44" spans="1:16">
      <c r="A44" s="26">
        <v>13</v>
      </c>
      <c r="B44" s="27">
        <f t="shared" si="2"/>
        <v>3450.830774871587</v>
      </c>
      <c r="C44" s="27">
        <f t="shared" si="0"/>
        <v>1380.3323099486349</v>
      </c>
      <c r="D44" s="27">
        <f t="shared" si="6"/>
        <v>1656.3987719383615</v>
      </c>
      <c r="E44" s="28">
        <f t="shared" si="1"/>
        <v>0</v>
      </c>
      <c r="F44" s="29">
        <f t="shared" si="3"/>
        <v>242.07998836433356</v>
      </c>
      <c r="G44" s="30">
        <f t="shared" si="4"/>
        <v>2461.1465483707234</v>
      </c>
      <c r="H44" s="15"/>
      <c r="I44" s="16">
        <f t="shared" si="5"/>
        <v>0</v>
      </c>
      <c r="J44" s="16"/>
      <c r="K44" s="7"/>
      <c r="M44" s="1"/>
    </row>
    <row r="45" spans="1:16">
      <c r="A45" s="26">
        <v>14</v>
      </c>
      <c r="B45" s="27">
        <f t="shared" si="2"/>
        <v>3423.2241286726144</v>
      </c>
      <c r="C45" s="27">
        <f t="shared" si="0"/>
        <v>1369.2896514690458</v>
      </c>
      <c r="D45" s="27">
        <f t="shared" si="6"/>
        <v>1643.1475817628548</v>
      </c>
      <c r="E45" s="28">
        <f t="shared" si="1"/>
        <v>0</v>
      </c>
      <c r="F45" s="29">
        <f t="shared" si="3"/>
        <v>248.13198807344187</v>
      </c>
      <c r="G45" s="30">
        <f t="shared" si="4"/>
        <v>2522.6752120799911</v>
      </c>
      <c r="H45" s="15"/>
      <c r="I45" s="16">
        <f t="shared" si="5"/>
        <v>0</v>
      </c>
      <c r="J45" s="16"/>
      <c r="K45" s="7"/>
      <c r="M45" s="1"/>
    </row>
    <row r="46" spans="1:16">
      <c r="A46" s="26">
        <v>15</v>
      </c>
      <c r="B46" s="27">
        <f t="shared" si="2"/>
        <v>3395.8383356432337</v>
      </c>
      <c r="C46" s="27">
        <f t="shared" si="0"/>
        <v>1358.3353342572937</v>
      </c>
      <c r="D46" s="27">
        <f t="shared" si="6"/>
        <v>1630.0024011087521</v>
      </c>
      <c r="E46" s="28">
        <f t="shared" si="1"/>
        <v>11.662264633954237</v>
      </c>
      <c r="F46" s="29">
        <f t="shared" si="3"/>
        <v>263.39844881685298</v>
      </c>
      <c r="G46" s="30">
        <f t="shared" si="4"/>
        <v>2585.7420923819905</v>
      </c>
      <c r="H46" s="15"/>
      <c r="I46" s="16">
        <f t="shared" si="5"/>
        <v>0</v>
      </c>
      <c r="J46" s="16"/>
      <c r="K46" s="7"/>
      <c r="M46" s="1"/>
    </row>
    <row r="47" spans="1:16">
      <c r="A47" s="26">
        <v>16</v>
      </c>
      <c r="B47" s="27">
        <f t="shared" si="2"/>
        <v>3368.6716289580877</v>
      </c>
      <c r="C47" s="27">
        <f t="shared" si="0"/>
        <v>1347.4686515832352</v>
      </c>
      <c r="D47" s="27">
        <f t="shared" si="6"/>
        <v>1616.9623818998821</v>
      </c>
      <c r="E47" s="28">
        <f t="shared" si="1"/>
        <v>35.56896651688271</v>
      </c>
      <c r="F47" s="29">
        <f t="shared" si="3"/>
        <v>289.02662791450854</v>
      </c>
      <c r="G47" s="30">
        <f t="shared" si="4"/>
        <v>2650.3856446915402</v>
      </c>
      <c r="H47" s="15"/>
      <c r="I47" s="16">
        <f t="shared" si="5"/>
        <v>0</v>
      </c>
      <c r="J47" s="16"/>
      <c r="K47" s="7"/>
      <c r="M47" s="1"/>
    </row>
    <row r="48" spans="1:16">
      <c r="A48" s="26">
        <v>17</v>
      </c>
      <c r="B48" s="27">
        <f t="shared" si="2"/>
        <v>3341.7222559264228</v>
      </c>
      <c r="C48" s="27">
        <f t="shared" si="0"/>
        <v>1336.6889023705692</v>
      </c>
      <c r="D48" s="27">
        <f t="shared" si="6"/>
        <v>1604.0266828446829</v>
      </c>
      <c r="E48" s="28">
        <f t="shared" si="1"/>
        <v>59.284414784747923</v>
      </c>
      <c r="F48" s="29">
        <f t="shared" si="3"/>
        <v>315.61543754994312</v>
      </c>
      <c r="G48" s="30">
        <f t="shared" si="4"/>
        <v>2716.6452858088282</v>
      </c>
      <c r="H48" s="15"/>
      <c r="I48" s="16">
        <f t="shared" si="5"/>
        <v>0</v>
      </c>
      <c r="J48" s="16"/>
      <c r="K48" s="7"/>
      <c r="M48" s="1"/>
    </row>
    <row r="49" spans="1:13">
      <c r="A49" s="26">
        <v>18</v>
      </c>
      <c r="B49" s="27">
        <f t="shared" si="2"/>
        <v>3314.9884778790115</v>
      </c>
      <c r="C49" s="27">
        <f t="shared" si="0"/>
        <v>1325.9953911516047</v>
      </c>
      <c r="D49" s="27">
        <f t="shared" si="6"/>
        <v>1591.1944693819255</v>
      </c>
      <c r="E49" s="28">
        <f t="shared" si="1"/>
        <v>82.810139466469764</v>
      </c>
      <c r="F49" s="29">
        <f t="shared" si="3"/>
        <v>343.19426824441439</v>
      </c>
      <c r="G49" s="30">
        <f t="shared" si="4"/>
        <v>2784.5614179540489</v>
      </c>
      <c r="H49" s="15"/>
      <c r="I49" s="16">
        <f t="shared" si="5"/>
        <v>0</v>
      </c>
      <c r="J49" s="16"/>
      <c r="K49" s="7"/>
      <c r="M49" s="1"/>
    </row>
    <row r="50" spans="1:13">
      <c r="A50" s="26">
        <v>19</v>
      </c>
      <c r="B50" s="27">
        <f t="shared" si="2"/>
        <v>3288.4685700559794</v>
      </c>
      <c r="C50" s="27">
        <f t="shared" si="0"/>
        <v>1315.3874280223918</v>
      </c>
      <c r="D50" s="27">
        <f t="shared" si="6"/>
        <v>1578.4649136268702</v>
      </c>
      <c r="E50" s="28">
        <f t="shared" si="1"/>
        <v>106.14765835073808</v>
      </c>
      <c r="F50" s="29">
        <f t="shared" si="3"/>
        <v>371.79333557814385</v>
      </c>
      <c r="G50" s="30">
        <f t="shared" si="4"/>
        <v>2854.1754534029001</v>
      </c>
      <c r="H50" s="15"/>
      <c r="I50" s="16">
        <f t="shared" si="5"/>
        <v>0</v>
      </c>
      <c r="J50" s="16"/>
      <c r="K50" s="7"/>
      <c r="M50" s="1"/>
    </row>
    <row r="51" spans="1:13">
      <c r="A51" s="26">
        <v>20</v>
      </c>
      <c r="B51" s="27">
        <f t="shared" si="2"/>
        <v>3262.1608214955318</v>
      </c>
      <c r="C51" s="27">
        <f t="shared" si="0"/>
        <v>1304.8643285982128</v>
      </c>
      <c r="D51" s="27">
        <f t="shared" si="6"/>
        <v>1565.8371943178554</v>
      </c>
      <c r="E51" s="28">
        <f t="shared" si="1"/>
        <v>129.29847708393186</v>
      </c>
      <c r="F51" s="29">
        <f t="shared" si="3"/>
        <v>401.4437023337602</v>
      </c>
      <c r="G51" s="30">
        <f t="shared" si="4"/>
        <v>2925.5298397379725</v>
      </c>
      <c r="H51" s="15"/>
      <c r="I51" s="16">
        <f t="shared" si="5"/>
        <v>0</v>
      </c>
      <c r="J51" s="16"/>
      <c r="K51" s="7"/>
      <c r="M51" s="1"/>
    </row>
    <row r="52" spans="1:13">
      <c r="A52" s="26">
        <v>21</v>
      </c>
      <c r="B52" s="27">
        <f t="shared" si="2"/>
        <v>3236.0635349235677</v>
      </c>
      <c r="C52" s="27">
        <f t="shared" si="0"/>
        <v>1294.4254139694272</v>
      </c>
      <c r="D52" s="27">
        <f t="shared" si="6"/>
        <v>1553.3104967633126</v>
      </c>
      <c r="E52" s="28">
        <f t="shared" si="1"/>
        <v>152.26408926726026</v>
      </c>
      <c r="F52" s="29">
        <f t="shared" si="3"/>
        <v>432.17730121881851</v>
      </c>
      <c r="G52" s="30">
        <f t="shared" si="4"/>
        <v>2998.6680857314213</v>
      </c>
      <c r="H52" s="15"/>
      <c r="I52" s="16">
        <f t="shared" si="5"/>
        <v>0</v>
      </c>
      <c r="J52" s="16"/>
      <c r="K52" s="7"/>
      <c r="M52" s="1"/>
    </row>
    <row r="53" spans="1:13">
      <c r="A53" s="26">
        <v>22</v>
      </c>
      <c r="B53" s="27">
        <f t="shared" si="2"/>
        <v>3210.1750266441791</v>
      </c>
      <c r="C53" s="27">
        <f t="shared" si="0"/>
        <v>1284.0700106576717</v>
      </c>
      <c r="D53" s="27">
        <f t="shared" si="6"/>
        <v>1540.8840127892061</v>
      </c>
      <c r="E53" s="28">
        <f t="shared" si="1"/>
        <v>175.04597655312227</v>
      </c>
      <c r="F53" s="29">
        <f t="shared" si="3"/>
        <v>464.02695818229239</v>
      </c>
      <c r="G53" s="30">
        <f t="shared" si="4"/>
        <v>3073.6347878747065</v>
      </c>
      <c r="H53" s="15"/>
      <c r="I53" s="16">
        <f t="shared" si="5"/>
        <v>0</v>
      </c>
      <c r="J53" s="16"/>
      <c r="K53" s="7"/>
      <c r="M53" s="1"/>
    </row>
    <row r="54" spans="1:13">
      <c r="A54" s="26">
        <v>23</v>
      </c>
      <c r="B54" s="27">
        <f t="shared" si="2"/>
        <v>3184.4936264310259</v>
      </c>
      <c r="C54" s="27">
        <f t="shared" si="0"/>
        <v>1273.7974505724105</v>
      </c>
      <c r="D54" s="27">
        <f t="shared" si="6"/>
        <v>1528.5569406868924</v>
      </c>
      <c r="E54" s="28">
        <f t="shared" si="1"/>
        <v>197.64560874069707</v>
      </c>
      <c r="F54" s="29">
        <f t="shared" si="3"/>
        <v>497.02641634032733</v>
      </c>
      <c r="G54" s="30">
        <f t="shared" si="4"/>
        <v>3150.4756575715737</v>
      </c>
      <c r="H54" s="15"/>
      <c r="I54" s="16">
        <f t="shared" si="5"/>
        <v>0</v>
      </c>
      <c r="J54" s="16"/>
      <c r="K54" s="7"/>
      <c r="M54" s="1"/>
    </row>
    <row r="55" spans="1:13">
      <c r="A55" s="26">
        <v>24</v>
      </c>
      <c r="B55" s="27">
        <f t="shared" si="2"/>
        <v>3159.0176774195775</v>
      </c>
      <c r="C55" s="27">
        <f t="shared" si="0"/>
        <v>1263.6070709678311</v>
      </c>
      <c r="D55" s="27">
        <f t="shared" si="6"/>
        <v>1516.3284851613971</v>
      </c>
      <c r="E55" s="28">
        <f t="shared" si="1"/>
        <v>220.06444387077181</v>
      </c>
      <c r="F55" s="29">
        <f t="shared" si="3"/>
        <v>531.21036052693205</v>
      </c>
      <c r="G55" s="30">
        <f t="shared" si="4"/>
        <v>3229.2375490108629</v>
      </c>
      <c r="H55" s="15"/>
      <c r="I55" s="16">
        <f t="shared" si="5"/>
        <v>0</v>
      </c>
      <c r="J55" s="16"/>
      <c r="K55" s="7"/>
      <c r="M55" s="1"/>
    </row>
    <row r="56" spans="1:13">
      <c r="A56" s="26">
        <v>25</v>
      </c>
      <c r="B56" s="27">
        <f t="shared" si="2"/>
        <v>3133.7455360002209</v>
      </c>
      <c r="C56" s="27">
        <f t="shared" si="0"/>
        <v>1253.4982144000885</v>
      </c>
      <c r="D56" s="27">
        <f t="shared" si="6"/>
        <v>1504.1978572801061</v>
      </c>
      <c r="E56" s="28">
        <f t="shared" si="1"/>
        <v>242.30392831980544</v>
      </c>
      <c r="F56" s="29">
        <f t="shared" si="3"/>
        <v>566.61444248567341</v>
      </c>
      <c r="G56" s="30">
        <f t="shared" si="4"/>
        <v>3309.9684877361342</v>
      </c>
      <c r="H56" s="15"/>
      <c r="I56" s="16">
        <f t="shared" si="5"/>
        <v>0</v>
      </c>
      <c r="J56" s="16"/>
      <c r="K56" s="7"/>
      <c r="M56" s="1"/>
    </row>
    <row r="57" spans="1:13">
      <c r="A57" s="26"/>
      <c r="B57" s="27"/>
      <c r="C57" s="27"/>
      <c r="D57" s="27"/>
      <c r="E57" s="28"/>
      <c r="F57" s="29"/>
      <c r="G57" s="30"/>
      <c r="H57" s="15"/>
      <c r="I57" s="16"/>
      <c r="J57" s="16"/>
      <c r="K57" s="7"/>
      <c r="M57" s="1"/>
    </row>
    <row r="58" spans="1:13" ht="15.75">
      <c r="A58" s="57" t="s">
        <v>44</v>
      </c>
      <c r="B58" s="58"/>
      <c r="C58" s="59">
        <f>COUNTIF(I32:I56,"&gt;0")</f>
        <v>11</v>
      </c>
      <c r="D58" s="57" t="s">
        <v>45</v>
      </c>
      <c r="E58" s="57" t="s">
        <v>46</v>
      </c>
      <c r="F58" s="29"/>
      <c r="G58" s="30"/>
      <c r="H58" s="15"/>
      <c r="I58" s="16"/>
      <c r="J58" s="16"/>
      <c r="K58" s="7"/>
      <c r="M58" s="1"/>
    </row>
    <row r="59" spans="1:13" ht="15">
      <c r="A59" s="60"/>
      <c r="B59" s="61"/>
      <c r="C59" s="61"/>
      <c r="D59" s="61"/>
      <c r="E59" s="62"/>
      <c r="F59" s="15"/>
      <c r="G59" s="21"/>
      <c r="H59" s="15"/>
      <c r="I59" s="16"/>
      <c r="J59" s="16"/>
      <c r="K59" s="7"/>
      <c r="M59" s="1"/>
    </row>
    <row r="60" spans="1:13" ht="15.75">
      <c r="A60" s="57" t="s">
        <v>22</v>
      </c>
      <c r="B60" s="63"/>
      <c r="C60" s="63"/>
      <c r="D60" s="63"/>
      <c r="E60" s="64">
        <f>C15*C16+(SUM(F32:F56))</f>
        <v>29448.938810202792</v>
      </c>
      <c r="F60" s="15"/>
      <c r="G60" s="21"/>
      <c r="H60" s="15"/>
      <c r="I60" s="16"/>
      <c r="J60" s="16"/>
      <c r="K60" s="7"/>
      <c r="M60" s="1"/>
    </row>
    <row r="61" spans="1:13" ht="15.75">
      <c r="A61" s="57" t="s">
        <v>10</v>
      </c>
      <c r="B61" s="63"/>
      <c r="C61" s="63"/>
      <c r="D61" s="63"/>
      <c r="E61" s="64">
        <f>SUM(G32:G56)</f>
        <v>62508.707997181729</v>
      </c>
      <c r="F61" s="14"/>
      <c r="G61" s="14"/>
      <c r="H61" s="15"/>
      <c r="I61" s="16"/>
      <c r="J61" s="16"/>
      <c r="K61" s="7"/>
      <c r="M61" s="1"/>
    </row>
    <row r="62" spans="1:13" ht="33" customHeight="1">
      <c r="A62" s="65" t="s">
        <v>21</v>
      </c>
      <c r="B62" s="65"/>
      <c r="C62" s="65"/>
      <c r="D62" s="65"/>
      <c r="E62" s="66">
        <f>E61-E60</f>
        <v>33059.769186978941</v>
      </c>
      <c r="F62" s="14"/>
      <c r="G62" s="14"/>
      <c r="H62" s="15"/>
      <c r="I62" s="16"/>
      <c r="J62" s="16"/>
      <c r="K62" s="7"/>
      <c r="M62" s="1"/>
    </row>
    <row r="63" spans="1:13" ht="15">
      <c r="A63" s="6"/>
      <c r="B63" s="6"/>
      <c r="D63" s="6"/>
      <c r="E63" s="6"/>
      <c r="F63" s="6"/>
      <c r="G63" s="6"/>
      <c r="H63" s="8"/>
      <c r="I63" s="8"/>
      <c r="J63" s="8"/>
    </row>
    <row r="64" spans="1:13" ht="15">
      <c r="A64" s="6" t="s">
        <v>11</v>
      </c>
      <c r="I64" s="1"/>
      <c r="J64" s="1"/>
      <c r="M64" s="3"/>
    </row>
    <row r="65" spans="1:11" ht="15">
      <c r="A65" s="6"/>
      <c r="B65" s="1"/>
      <c r="D65" s="1"/>
      <c r="E65" s="1"/>
      <c r="F65" s="1"/>
      <c r="G65" s="1"/>
      <c r="H65" s="7"/>
      <c r="I65" s="7"/>
      <c r="J65" s="7"/>
      <c r="K65" s="1"/>
    </row>
    <row r="66" spans="1:11" ht="15">
      <c r="A66" s="24" t="s">
        <v>12</v>
      </c>
      <c r="B66" s="10"/>
      <c r="D66" s="10"/>
      <c r="E66" s="10"/>
      <c r="F66" s="10"/>
      <c r="G66" s="10"/>
      <c r="H66" s="11"/>
      <c r="I66" s="11"/>
      <c r="J66" s="11"/>
    </row>
    <row r="67" spans="1:11" ht="15">
      <c r="A67" s="24" t="s">
        <v>48</v>
      </c>
      <c r="B67" s="10"/>
      <c r="D67" s="10"/>
      <c r="E67" s="10"/>
      <c r="F67" s="10"/>
      <c r="G67" s="10"/>
      <c r="H67" s="11"/>
      <c r="I67" s="11"/>
      <c r="J67" s="11"/>
    </row>
    <row r="68" spans="1:11">
      <c r="A68" t="s">
        <v>49</v>
      </c>
    </row>
    <row r="69" spans="1:11" ht="15">
      <c r="A69" s="6" t="s">
        <v>50</v>
      </c>
    </row>
    <row r="70" spans="1:11">
      <c r="A70" s="24"/>
    </row>
    <row r="71" spans="1:11" ht="14.25" customHeight="1">
      <c r="A71" s="23" t="s">
        <v>16</v>
      </c>
      <c r="B71" s="23"/>
      <c r="C71" s="23"/>
      <c r="D71" s="23"/>
      <c r="E71" s="23"/>
      <c r="F71" s="5"/>
      <c r="G71" s="5"/>
      <c r="H71" s="3"/>
    </row>
    <row r="72" spans="1:11" ht="14.25" customHeight="1">
      <c r="A72" s="55" t="s">
        <v>17</v>
      </c>
      <c r="B72" s="55"/>
      <c r="C72" s="25">
        <f>C15*C16</f>
        <v>22000</v>
      </c>
      <c r="D72" s="22"/>
      <c r="E72" s="12"/>
      <c r="F72" s="12"/>
      <c r="G72" s="12"/>
      <c r="H72" s="3"/>
    </row>
    <row r="73" spans="1:11">
      <c r="A73" s="4">
        <v>2.2000000000000002</v>
      </c>
      <c r="B73" t="s">
        <v>18</v>
      </c>
      <c r="C73" s="7">
        <f>C72*(1+A73/100)^25*0.81</f>
        <v>30702.949244663898</v>
      </c>
      <c r="D73" s="3" t="s">
        <v>42</v>
      </c>
      <c r="G73" s="7"/>
    </row>
    <row r="74" spans="1:11" ht="15">
      <c r="C74" s="10"/>
      <c r="D74" s="10"/>
      <c r="E74" s="10"/>
      <c r="F74" s="10"/>
      <c r="G74" s="10"/>
    </row>
    <row r="75" spans="1:11">
      <c r="A75" t="s">
        <v>23</v>
      </c>
      <c r="C75" s="7"/>
    </row>
    <row r="77" spans="1:11">
      <c r="A77" t="s">
        <v>43</v>
      </c>
    </row>
    <row r="78" spans="1:11">
      <c r="A78" t="s">
        <v>24</v>
      </c>
    </row>
  </sheetData>
  <mergeCells count="2">
    <mergeCell ref="A72:B72"/>
    <mergeCell ref="A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2018-02-05T20:54:58Z</dcterms:created>
  <dcterms:modified xsi:type="dcterms:W3CDTF">2018-02-16T10:06:22Z</dcterms:modified>
</cp:coreProperties>
</file>