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lawo\Downloads\"/>
    </mc:Choice>
  </mc:AlternateContent>
  <xr:revisionPtr revIDLastSave="0" documentId="13_ncr:1_{373D21AB-3844-48AF-8ACC-9001EA1CC475}" xr6:coauthVersionLast="47" xr6:coauthVersionMax="47" xr10:uidLastSave="{00000000-0000-0000-0000-000000000000}"/>
  <bookViews>
    <workbookView xWindow="-110" yWindow="-110" windowWidth="25820" windowHeight="15500" xr2:uid="{00000000-000D-0000-FFFF-FFFF00000000}"/>
  </bookViews>
  <sheets>
    <sheet name="Kosztorys budowy 2025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6" i="1" l="1"/>
  <c r="L22" i="1"/>
  <c r="L23" i="1"/>
  <c r="L24" i="1"/>
  <c r="G127" i="1"/>
  <c r="G10" i="1"/>
  <c r="P21" i="1" s="1"/>
  <c r="L25" i="1" l="1"/>
  <c r="G132" i="1"/>
  <c r="G67" i="1"/>
  <c r="G109" i="1"/>
  <c r="G108" i="1"/>
  <c r="G107" i="1"/>
  <c r="D106" i="1"/>
  <c r="G106" i="1" s="1"/>
  <c r="G105" i="1"/>
  <c r="G104" i="1"/>
  <c r="D103" i="1"/>
  <c r="G103" i="1" s="1"/>
  <c r="G101" i="1"/>
  <c r="D100" i="1"/>
  <c r="G100" i="1" s="1"/>
  <c r="G99" i="1"/>
  <c r="G97" i="1"/>
  <c r="G98" i="1"/>
  <c r="G96" i="1"/>
  <c r="G94" i="1"/>
  <c r="D83" i="1"/>
  <c r="G83" i="1" s="1"/>
  <c r="D78" i="1"/>
  <c r="G78" i="1" s="1"/>
  <c r="D82" i="1"/>
  <c r="G82" i="1" s="1"/>
  <c r="D77" i="1"/>
  <c r="G77" i="1" s="1"/>
  <c r="G87" i="1"/>
  <c r="D57" i="1"/>
  <c r="G57" i="1" s="1"/>
  <c r="G32" i="1"/>
  <c r="G81" i="1"/>
  <c r="G79" i="1"/>
  <c r="G80" i="1"/>
  <c r="G84" i="1"/>
  <c r="G85" i="1"/>
  <c r="G86" i="1"/>
  <c r="G88" i="1"/>
  <c r="G89" i="1"/>
  <c r="G90" i="1"/>
  <c r="D53" i="1"/>
  <c r="G53" i="1" s="1"/>
  <c r="D51" i="1"/>
  <c r="G51" i="1" s="1"/>
  <c r="G52" i="1"/>
  <c r="G50" i="1"/>
  <c r="D49" i="1"/>
  <c r="G49" i="1" s="1"/>
  <c r="D48" i="1"/>
  <c r="G48" i="1" s="1"/>
  <c r="G47" i="1"/>
  <c r="D46" i="1"/>
  <c r="G46" i="1" s="1"/>
  <c r="G45" i="1"/>
  <c r="G44" i="1"/>
  <c r="G43" i="1"/>
  <c r="D42" i="1"/>
  <c r="G42" i="1" s="1"/>
  <c r="D41" i="1"/>
  <c r="G41" i="1" s="1"/>
  <c r="G40" i="1"/>
  <c r="D39" i="1"/>
  <c r="G39" i="1" s="1"/>
  <c r="G37" i="1"/>
  <c r="G35" i="1"/>
  <c r="G36" i="1"/>
  <c r="G31" i="1"/>
  <c r="G30" i="1"/>
  <c r="G29" i="1"/>
  <c r="G28" i="1"/>
  <c r="G27" i="1"/>
  <c r="G24" i="1"/>
  <c r="G25" i="1"/>
  <c r="G19" i="1"/>
  <c r="G23" i="1"/>
  <c r="G22" i="1"/>
  <c r="G20" i="1"/>
  <c r="G18" i="1"/>
  <c r="G16" i="1"/>
  <c r="G14" i="1"/>
  <c r="G15" i="1"/>
  <c r="G13" i="1"/>
  <c r="G91" i="1" l="1"/>
  <c r="P23" i="1" s="1"/>
  <c r="G111" i="1"/>
  <c r="P24" i="1" s="1"/>
  <c r="G58" i="1"/>
  <c r="P22" i="1" s="1"/>
  <c r="P25" i="1"/>
  <c r="H127" i="1"/>
  <c r="P26" i="1"/>
  <c r="H132" i="1"/>
  <c r="G134" i="1" l="1"/>
  <c r="H134" i="1" s="1"/>
  <c r="H58" i="1"/>
  <c r="H91" i="1"/>
  <c r="H111" i="1"/>
  <c r="H10" i="1"/>
  <c r="P27" i="1"/>
  <c r="P28" i="1" l="1"/>
  <c r="R28" i="1" s="1"/>
  <c r="R27" i="1"/>
</calcChain>
</file>

<file path=xl/sharedStrings.xml><?xml version="1.0" encoding="utf-8"?>
<sst xmlns="http://schemas.openxmlformats.org/spreadsheetml/2006/main" count="349" uniqueCount="245">
  <si>
    <t>L.P.</t>
  </si>
  <si>
    <t>Materiał/Usługa</t>
  </si>
  <si>
    <t>1.</t>
  </si>
  <si>
    <t>Geodezyjne tyczenie budynku</t>
  </si>
  <si>
    <t>Ilość</t>
  </si>
  <si>
    <t>Cena jednostkowa</t>
  </si>
  <si>
    <t>komplet</t>
  </si>
  <si>
    <t>Garaż blaszany z transportem i montażem</t>
  </si>
  <si>
    <t xml:space="preserve">Kierownik budowy </t>
  </si>
  <si>
    <t>Wykopy pod fundamenty</t>
  </si>
  <si>
    <t>Beton podkładowy</t>
  </si>
  <si>
    <t>Pompa do betonu</t>
  </si>
  <si>
    <t>Jednostka</t>
  </si>
  <si>
    <t>h</t>
  </si>
  <si>
    <t>m3</t>
  </si>
  <si>
    <t>kg</t>
  </si>
  <si>
    <t>Beton B25 na fundamenty</t>
  </si>
  <si>
    <t>m2</t>
  </si>
  <si>
    <t>Hydroizolacja pod trzpienie  fundamentowe - szlam</t>
  </si>
  <si>
    <t>kg-worek</t>
  </si>
  <si>
    <t>szt</t>
  </si>
  <si>
    <t>Beton B25 na trzpienie fundamentowe</t>
  </si>
  <si>
    <t>Drut wiązałkowy</t>
  </si>
  <si>
    <t>Bloczki fundamentowe B15 - 17szt/m2</t>
  </si>
  <si>
    <t>Hydroizolacja pod ściany fundamentowe - papa - szer 0,5m</t>
  </si>
  <si>
    <t>Zaprawa murarska w workach - 60kg/m2</t>
  </si>
  <si>
    <t>Hydroizolacja pionowa - gruntowanie - 0,2kg/m2</t>
  </si>
  <si>
    <t>kg-wiaderko</t>
  </si>
  <si>
    <t>Hydroizolacja pionowa - KMB 3mm - 6,0kg/m2</t>
  </si>
  <si>
    <t>Termoizolacja fundamentow EPS Hydro 15cm</t>
  </si>
  <si>
    <t>Klej montażowy do termoizolacji w piance</t>
  </si>
  <si>
    <t>Membrana kubełkowa</t>
  </si>
  <si>
    <t>mb</t>
  </si>
  <si>
    <t>ton</t>
  </si>
  <si>
    <t>Kruszywo do zasypywania fundamentów - piasek gruby</t>
  </si>
  <si>
    <t>Rury kanalizacyjne pod posadzką</t>
  </si>
  <si>
    <t>Taśma uszczelniające przejścia kanalizacji przez hydroizolacje</t>
  </si>
  <si>
    <t>Wylewka betonowa poziomu zero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</si>
  <si>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</si>
  <si>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</si>
  <si>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</si>
  <si>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</si>
  <si>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</si>
  <si>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</si>
  <si>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</si>
  <si>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</si>
  <si>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</si>
  <si>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</si>
  <si>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</si>
  <si>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</si>
  <si>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</si>
  <si>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</si>
  <si>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</si>
  <si>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</si>
  <si>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</si>
  <si>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</si>
  <si>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</si>
  <si>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</si>
  <si>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</si>
  <si>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</si>
  <si>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</si>
  <si>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</si>
  <si>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</si>
  <si>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Hydroizolacja pod ściany parteru - papa - szer 0,5m</t>
  </si>
  <si>
    <t>Hydroizolacja pod trzpienie parteru - szlam</t>
  </si>
  <si>
    <t>Ściany nośne parteru - gazobeton klasy 500 - 7szt/m2</t>
  </si>
  <si>
    <t>Zaprawa do murowania pierwszej warstwy</t>
  </si>
  <si>
    <t>Zaprawa murarska do cienkich spoin 4,5kg/m2</t>
  </si>
  <si>
    <t>Pręty #8 do zbrojenia strefy podokiennej - 45mb</t>
  </si>
  <si>
    <t>Zbrojenie konstrkcyjne na cały budynek</t>
  </si>
  <si>
    <t>Nadproże L19N-180</t>
  </si>
  <si>
    <t>Beton B25 na trzpienie, wieńce i nadproża</t>
  </si>
  <si>
    <t>Ściany działowe parteru - gazobeton kl 500 - 7szt/m2</t>
  </si>
  <si>
    <t>Hydroizolacja pod ściany działowe - papa - szer 0,33m</t>
  </si>
  <si>
    <t>Zaprawa murarska do cienkich spoin 2,5kg/m2</t>
  </si>
  <si>
    <t>Pręty #8 do zbrojenia pod ścianami - 2x65mb</t>
  </si>
  <si>
    <t>Nadproża do ścian działowych</t>
  </si>
  <si>
    <t>Konstrukcja dachu z wiązarów prefabrykowanych</t>
  </si>
  <si>
    <t>Robocizna stanu surowego</t>
  </si>
  <si>
    <t>Ściany szczytowe strychu - gazobeton klasy 500 - 7szt/m2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</si>
  <si>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</si>
  <si>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</si>
  <si>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</si>
  <si>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</si>
  <si>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</si>
  <si>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</si>
  <si>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</si>
  <si>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</si>
  <si>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</si>
  <si>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</si>
  <si>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</si>
  <si>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</si>
  <si>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</si>
  <si>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</si>
  <si>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</si>
  <si>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</si>
  <si>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</si>
  <si>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</si>
  <si>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</si>
  <si>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Folia przeciwwilgociowa na wieńcu</t>
  </si>
  <si>
    <t>46.</t>
  </si>
  <si>
    <t>netto</t>
  </si>
  <si>
    <t>PRACE ZEWNĘTRZNE</t>
  </si>
  <si>
    <t>Pokrycie dachowe - kompletne</t>
  </si>
  <si>
    <t>w tym:</t>
  </si>
  <si>
    <t>47.</t>
  </si>
  <si>
    <t>48.</t>
  </si>
  <si>
    <t>Styropian elewacyjny</t>
  </si>
  <si>
    <t>Siatka do elewacji</t>
  </si>
  <si>
    <t>Zaślepki do kołków</t>
  </si>
  <si>
    <t>Listwy narożne</t>
  </si>
  <si>
    <t>Listwy okapowe</t>
  </si>
  <si>
    <t>Bonie</t>
  </si>
  <si>
    <t>Robocizna elewacji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</si>
  <si>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</si>
  <si>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</si>
  <si>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</si>
  <si>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</si>
  <si>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</si>
  <si>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</si>
  <si>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</si>
  <si>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</si>
  <si>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</si>
  <si>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</si>
  <si>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</si>
  <si>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Klej do styropianu - 5,5kg/m2</t>
  </si>
  <si>
    <t>Kołki do styropianu - 7szt/m2</t>
  </si>
  <si>
    <t>Klej do siatki - 3,5kg/m2</t>
  </si>
  <si>
    <t>Masa gruntująca - 0,2kg/m2</t>
  </si>
  <si>
    <t>Tynk cienkowarstwowy si-si - 2,7kg/m2</t>
  </si>
  <si>
    <t>Pianka montażowa</t>
  </si>
  <si>
    <t>60.</t>
  </si>
  <si>
    <t>Zasypywanie fundamentów</t>
  </si>
  <si>
    <t>Stolarka zewnętrzna - komplet</t>
  </si>
  <si>
    <t>61.</t>
  </si>
  <si>
    <t>Pokrycie dachowe - robocizna</t>
  </si>
  <si>
    <t>62.</t>
  </si>
  <si>
    <t>Klej do wyrównania otworów okiennych</t>
  </si>
  <si>
    <t>63.</t>
  </si>
  <si>
    <t>64.</t>
  </si>
  <si>
    <t>65.</t>
  </si>
  <si>
    <t>Listwy przyokienne</t>
  </si>
  <si>
    <t>PRACE WEWNĘTRZNE</t>
  </si>
  <si>
    <t>Tynki wewnętrzne z materiałem</t>
  </si>
  <si>
    <t>Hydroizolacja posadzki - papa podkładowa</t>
  </si>
  <si>
    <t>Układanie papy podkładowej</t>
  </si>
  <si>
    <t>Gruntowanie posadzki</t>
  </si>
  <si>
    <t>Hydroizolacja posadzki - grunt - 0,2kg/m2</t>
  </si>
  <si>
    <t>Warstwa poślizgowa (folia)</t>
  </si>
  <si>
    <t>Styropian na posadzkę</t>
  </si>
  <si>
    <t>Posadzka cementowa z materiałem</t>
  </si>
  <si>
    <t>Membrana paroprzepuszczalna</t>
  </si>
  <si>
    <t>Wełna mineralna gr. 40cm</t>
  </si>
  <si>
    <t>Deskowanie strychu gr. 2,5cm</t>
  </si>
  <si>
    <t>Taśma do klejenia membrany</t>
  </si>
  <si>
    <t>Paroizolacja</t>
  </si>
  <si>
    <t>System sufitowy podwieszany kompletny</t>
  </si>
  <si>
    <t>Robicizna sufitu - deskowanie, ocieplenie, GK</t>
  </si>
  <si>
    <t>Wyłaz na strych</t>
  </si>
  <si>
    <t>instalacja elektryczna - gniazda i łączniki (szacunek)</t>
  </si>
  <si>
    <t>Instalacja elektryczna - materiał</t>
  </si>
  <si>
    <t>Instalacja elektryczna - robocizna</t>
  </si>
  <si>
    <t>Wykonanie kotłowni z powietrzną - pompą ciepła</t>
  </si>
  <si>
    <t>Wykonanie instalacji grzewczej - podłogówka</t>
  </si>
  <si>
    <t>Wykonanie instalacji wodno-kanalizacyjnej</t>
  </si>
  <si>
    <t>Wykonanie instalacji wentylacji z rekuperacją</t>
  </si>
  <si>
    <t>RAZEM PRACE ZEWNĘTRZNE</t>
  </si>
  <si>
    <t>RAZEM PRACE WEWNĘTRZNE</t>
  </si>
  <si>
    <t>INSTALACJE</t>
  </si>
  <si>
    <t>&gt; pojedyncza instalacja antenowa</t>
  </si>
  <si>
    <t>RAZEM INSTALACJE</t>
  </si>
  <si>
    <t>STAN DEWELOPERSKI RAZEM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</si>
  <si>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</si>
  <si>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</si>
  <si>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</si>
  <si>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</si>
  <si>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</si>
  <si>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</si>
  <si>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</si>
  <si>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</si>
  <si>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</si>
  <si>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</si>
  <si>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</si>
  <si>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</si>
  <si>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</si>
  <si>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</si>
  <si>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</si>
  <si>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</si>
  <si>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</si>
  <si>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</si>
  <si>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</si>
  <si>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</si>
  <si>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</si>
  <si>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</si>
  <si>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</si>
  <si>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Utylizacja śmieci</t>
  </si>
  <si>
    <t>Pomiary, sprawdzenia, odbiory</t>
  </si>
  <si>
    <t>89.</t>
  </si>
  <si>
    <t>90.</t>
  </si>
  <si>
    <t>INNE</t>
  </si>
  <si>
    <t>INNE RAZEM</t>
  </si>
  <si>
    <t>Domy Modelowe</t>
  </si>
  <si>
    <t>Założenia do kosztorysu</t>
  </si>
  <si>
    <t>Parametry budynku:</t>
  </si>
  <si>
    <t>brutto</t>
  </si>
  <si>
    <t>Kosztorys uwzględnia kierownika budowy, geodetę, garaż oraz utylizację śmieci</t>
  </si>
  <si>
    <t>Kosztorys wykonany zgodnie z projektem - do stanu deweloperskiego.</t>
  </si>
  <si>
    <t xml:space="preserve">za 1 m2 </t>
  </si>
  <si>
    <t>Możliwa oszczędność na całym dachu w wys. ok. 10000 zł przy zmianie blachy na rąbek na blachodachówkę</t>
  </si>
  <si>
    <t>Opcjonalnie:</t>
  </si>
  <si>
    <t xml:space="preserve">Rolety okienne </t>
  </si>
  <si>
    <t>Klimatyzacja</t>
  </si>
  <si>
    <t>&gt; brak odgromówki</t>
  </si>
  <si>
    <t>&gt; przygotowana pod sterowanie roletami</t>
  </si>
  <si>
    <t>&gt; wstępne krycie, kontrłaty, łaty</t>
  </si>
  <si>
    <t>&gt; pokrycie docelowe wraz z obróbkami</t>
  </si>
  <si>
    <t>&gt; kompletny system rynnowy</t>
  </si>
  <si>
    <t>&gt; kompletna podbitka</t>
  </si>
  <si>
    <t>&gt; okna zewnętrzne PCV, ciepły motnaż</t>
  </si>
  <si>
    <t>&gt; okno tarasowe ALU, ciepły montaż</t>
  </si>
  <si>
    <t>&gt; drzwi wejściowe z naświetlem</t>
  </si>
  <si>
    <t>&gt; parapety zewnętrzne stalowe</t>
  </si>
  <si>
    <t>&gt; papapety wewnętrzne konglomerat</t>
  </si>
  <si>
    <t>PRZYGOTOWANIE DO BUDOWY</t>
  </si>
  <si>
    <t>RAZEM KOSZTY ZWIĄZANE Z PRZYGOTOWANIEM DO BUDOWY</t>
  </si>
  <si>
    <t>Kosztorys nie uwzględnia przyłączy, zagospodarowania terenu, ogrodzenia itp.</t>
  </si>
  <si>
    <t>Możliwa oszczędność kilku tysięcy zł przy dobrych warunkach gruntowych</t>
  </si>
  <si>
    <t>Podane koszty dotyczą budowy systemem zleconym - budowa jedną firmą będzie droższa o ok. 20-30%.</t>
  </si>
  <si>
    <r>
      <t xml:space="preserve">Kwota brutto 
</t>
    </r>
    <r>
      <rPr>
        <sz val="11"/>
        <color theme="0"/>
        <rFont val="Calibri"/>
        <family val="2"/>
        <charset val="238"/>
        <scheme val="minor"/>
      </rPr>
      <t>(z 8% VAT)</t>
    </r>
  </si>
  <si>
    <t>Cena pozycji - kwota netto</t>
  </si>
  <si>
    <r>
      <rPr>
        <u/>
        <sz val="11"/>
        <color theme="1"/>
        <rFont val="Calibri"/>
        <family val="2"/>
        <charset val="238"/>
        <scheme val="minor"/>
      </rPr>
      <t>Wentylacja</t>
    </r>
    <r>
      <rPr>
        <sz val="11"/>
        <color theme="1"/>
        <rFont val="Calibri"/>
        <family val="2"/>
        <charset val="238"/>
        <scheme val="minor"/>
      </rPr>
      <t>: Mechaniczna z odzyskiem ciepła</t>
    </r>
  </si>
  <si>
    <r>
      <rPr>
        <u/>
        <sz val="11"/>
        <color theme="1"/>
        <rFont val="Calibri"/>
        <family val="2"/>
        <charset val="238"/>
        <scheme val="minor"/>
      </rPr>
      <t>Ogrzewanie</t>
    </r>
    <r>
      <rPr>
        <sz val="11"/>
        <color theme="1"/>
        <rFont val="Calibri"/>
        <family val="2"/>
        <charset val="238"/>
        <scheme val="minor"/>
      </rPr>
      <t>: Pompa ciepła</t>
    </r>
  </si>
  <si>
    <r>
      <rPr>
        <u/>
        <sz val="11"/>
        <color theme="1"/>
        <rFont val="Calibri"/>
        <family val="2"/>
        <charset val="238"/>
        <scheme val="minor"/>
      </rPr>
      <t>Rzuty projektu i wizualizacje</t>
    </r>
    <r>
      <rPr>
        <sz val="11"/>
        <color theme="1"/>
        <rFont val="Calibri"/>
        <family val="2"/>
        <charset val="238"/>
        <scheme val="minor"/>
      </rPr>
      <t>:</t>
    </r>
  </si>
  <si>
    <t>Dom parterowy - powierzchnia użytkowa 135,72</t>
  </si>
  <si>
    <r>
      <rPr>
        <u/>
        <sz val="11"/>
        <color theme="1"/>
        <rFont val="Calibri"/>
        <family val="2"/>
        <charset val="238"/>
        <scheme val="minor"/>
      </rPr>
      <t>Technologia</t>
    </r>
    <r>
      <rPr>
        <sz val="11"/>
        <color theme="1"/>
        <rFont val="Calibri"/>
        <family val="2"/>
        <charset val="238"/>
        <scheme val="minor"/>
      </rPr>
      <t>:  Tradycyjne fundamenty, beton komórkowy. Pokrycie - blacha na rąbek stojący</t>
    </r>
  </si>
  <si>
    <t>Ile NAPRAWDĘ kosztuje budowa domu w 2024 roku?</t>
  </si>
  <si>
    <t>( www.domymodelowe.pl )</t>
  </si>
  <si>
    <t>RAZEM SSO (bez pokrycia dachowego)</t>
  </si>
  <si>
    <t>STAN SUROWY OTWARTY (bez pokrycia dachowego)</t>
  </si>
  <si>
    <t>Film, w którym szczegółowo omawiam kosztorys:</t>
  </si>
  <si>
    <r>
      <rPr>
        <b/>
        <u/>
        <sz val="10"/>
        <color theme="1"/>
        <rFont val="Calibri"/>
        <family val="2"/>
        <charset val="238"/>
        <scheme val="minor"/>
      </rPr>
      <t>Uwaga. Przyjęto VAT w wys. 8%.  Jest to wartość orientacyjna</t>
    </r>
    <r>
      <rPr>
        <b/>
        <sz val="10"/>
        <color theme="1"/>
        <rFont val="Calibri"/>
        <family val="2"/>
        <charset val="238"/>
        <scheme val="minor"/>
      </rPr>
      <t xml:space="preserve">. 
</t>
    </r>
    <r>
      <rPr>
        <sz val="10"/>
        <color theme="1"/>
        <rFont val="Calibri"/>
        <family val="2"/>
        <charset val="238"/>
        <scheme val="minor"/>
      </rPr>
      <t xml:space="preserve">
Wartość podatku zależy od tego, którzy wykonawcy są płatnikiem VAT, jakie usługi zostały zamówione z materiałem itd. 
Więcej informacji na temat podatków znajdziesz w tym artykule: </t>
    </r>
  </si>
  <si>
    <t>https://blog.poradnik-budowlany.com/podatki-czyli-jak-dzialaja-wykonawcy</t>
  </si>
  <si>
    <t xml:space="preserve">Kosztorys budowy domu modelowego </t>
  </si>
  <si>
    <t>Film, w którym omawiam koszty budowy w 2025 roku:</t>
  </si>
  <si>
    <t>Ile NAPRAWDĘ kosztuje budowa domu w 2025 roku?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</si>
</sst>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zł&quot;_-;\-* #,##0.00\ &quot;zł&quot;_-;_-* &quot;-&quot;??\ &quot;zł&quot;_-;_-@_-"/>
    <numFmt numFmtId="164" formatCode="_-* #,##0\ &quot;zł&quot;_-;\-* #,##0\ &quot;zł&quot;_-;_-* &quot;-&quot;??\ &quot;zł&quot;_-;_-@_-"/>
  </numFmts>
  <fonts count="19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6"/>
      <color theme="0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sz val="12"/>
      <color theme="0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u/>
      <sz val="11"/>
      <color rgb="FF00B050"/>
      <name val="Calibri"/>
      <family val="2"/>
      <charset val="238"/>
      <scheme val="minor"/>
    </font>
    <font>
      <b/>
      <u/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E5E5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61">
    <xf numFmtId="0" fontId="0" fillId="0" borderId="0" xfId="0"/>
    <xf numFmtId="1" fontId="0" fillId="0" borderId="0" xfId="0" applyNumberFormat="1" applyAlignment="1">
      <alignment horizontal="center" vertical="center" wrapText="1"/>
    </xf>
    <xf numFmtId="0" fontId="0" fillId="0" borderId="0" xfId="0" applyAlignment="1">
      <alignment vertical="center"/>
    </xf>
    <xf numFmtId="0" fontId="7" fillId="0" borderId="0" xfId="1" applyAlignment="1">
      <alignment vertical="center"/>
    </xf>
    <xf numFmtId="44" fontId="0" fillId="0" borderId="0" xfId="0" applyNumberFormat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44" fontId="2" fillId="0" borderId="0" xfId="0" applyNumberFormat="1" applyFont="1" applyAlignment="1">
      <alignment vertical="center"/>
    </xf>
    <xf numFmtId="164" fontId="0" fillId="0" borderId="0" xfId="0" applyNumberFormat="1" applyAlignment="1">
      <alignment vertical="center"/>
    </xf>
    <xf numFmtId="164" fontId="0" fillId="0" borderId="1" xfId="0" applyNumberFormat="1" applyBorder="1" applyAlignment="1">
      <alignment vertical="center"/>
    </xf>
    <xf numFmtId="1" fontId="0" fillId="0" borderId="0" xfId="0" applyNumberFormat="1" applyAlignment="1">
      <alignment vertical="center"/>
    </xf>
    <xf numFmtId="0" fontId="1" fillId="0" borderId="0" xfId="0" applyFont="1" applyAlignment="1">
      <alignment vertical="center"/>
    </xf>
    <xf numFmtId="44" fontId="1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1" fontId="2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3" fontId="0" fillId="0" borderId="0" xfId="0" applyNumberFormat="1" applyAlignment="1">
      <alignment vertical="center"/>
    </xf>
    <xf numFmtId="0" fontId="2" fillId="2" borderId="0" xfId="0" applyFont="1" applyFill="1" applyAlignment="1">
      <alignment vertical="center"/>
    </xf>
    <xf numFmtId="0" fontId="9" fillId="3" borderId="0" xfId="0" applyFont="1" applyFill="1" applyAlignment="1">
      <alignment vertical="center"/>
    </xf>
    <xf numFmtId="0" fontId="9" fillId="3" borderId="0" xfId="0" applyFont="1" applyFill="1" applyAlignment="1">
      <alignment vertical="center" wrapText="1"/>
    </xf>
    <xf numFmtId="0" fontId="10" fillId="3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44" fontId="0" fillId="4" borderId="0" xfId="0" applyNumberFormat="1" applyFill="1" applyAlignment="1">
      <alignment vertical="center"/>
    </xf>
    <xf numFmtId="0" fontId="10" fillId="4" borderId="0" xfId="0" applyFont="1" applyFill="1" applyAlignment="1">
      <alignment vertical="center"/>
    </xf>
    <xf numFmtId="0" fontId="9" fillId="4" borderId="0" xfId="0" applyFont="1" applyFill="1" applyAlignment="1">
      <alignment vertical="center"/>
    </xf>
    <xf numFmtId="44" fontId="10" fillId="4" borderId="0" xfId="0" applyNumberFormat="1" applyFont="1" applyFill="1" applyAlignment="1">
      <alignment vertical="center"/>
    </xf>
    <xf numFmtId="0" fontId="5" fillId="2" borderId="0" xfId="0" applyFont="1" applyFill="1" applyAlignment="1">
      <alignment vertical="center"/>
    </xf>
    <xf numFmtId="44" fontId="9" fillId="3" borderId="0" xfId="0" applyNumberFormat="1" applyFont="1" applyFill="1" applyAlignment="1">
      <alignment horizontal="center" vertical="center" wrapText="1"/>
    </xf>
    <xf numFmtId="44" fontId="9" fillId="4" borderId="0" xfId="0" applyNumberFormat="1" applyFont="1" applyFill="1" applyAlignment="1">
      <alignment vertical="center"/>
    </xf>
    <xf numFmtId="0" fontId="13" fillId="5" borderId="0" xfId="0" applyFont="1" applyFill="1" applyAlignment="1">
      <alignment vertical="center"/>
    </xf>
    <xf numFmtId="0" fontId="14" fillId="5" borderId="0" xfId="0" applyFont="1" applyFill="1" applyAlignment="1">
      <alignment vertical="center"/>
    </xf>
    <xf numFmtId="0" fontId="0" fillId="0" borderId="0" xfId="0" quotePrefix="1" applyAlignment="1">
      <alignment vertical="center"/>
    </xf>
    <xf numFmtId="164" fontId="9" fillId="3" borderId="0" xfId="0" applyNumberFormat="1" applyFont="1" applyFill="1" applyAlignment="1">
      <alignment vertical="center"/>
    </xf>
    <xf numFmtId="164" fontId="9" fillId="4" borderId="0" xfId="0" applyNumberFormat="1" applyFont="1" applyFill="1" applyAlignment="1">
      <alignment vertical="center"/>
    </xf>
    <xf numFmtId="44" fontId="2" fillId="2" borderId="1" xfId="0" applyNumberFormat="1" applyFont="1" applyFill="1" applyBorder="1" applyAlignment="1">
      <alignment vertical="center"/>
    </xf>
    <xf numFmtId="0" fontId="2" fillId="2" borderId="0" xfId="0" applyFont="1" applyFill="1" applyAlignment="1">
      <alignment horizontal="left" vertical="center"/>
    </xf>
    <xf numFmtId="0" fontId="15" fillId="0" borderId="0" xfId="0" applyFont="1" applyAlignment="1">
      <alignment vertical="center"/>
    </xf>
    <xf numFmtId="1" fontId="11" fillId="6" borderId="0" xfId="0" applyNumberFormat="1" applyFont="1" applyFill="1" applyAlignment="1">
      <alignment horizontal="center" vertical="center" wrapText="1"/>
    </xf>
    <xf numFmtId="0" fontId="16" fillId="0" borderId="0" xfId="1" applyFont="1" applyAlignment="1">
      <alignment vertical="center"/>
    </xf>
    <xf numFmtId="0" fontId="7" fillId="0" borderId="0" xfId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9" fillId="4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0" fillId="4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44" fontId="0" fillId="0" borderId="0" xfId="0" applyNumberFormat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164" fontId="2" fillId="2" borderId="0" xfId="0" applyNumberFormat="1" applyFont="1" applyFill="1" applyAlignment="1">
      <alignment vertical="center"/>
    </xf>
    <xf numFmtId="164" fontId="4" fillId="0" borderId="0" xfId="0" applyNumberFormat="1" applyFont="1" applyAlignment="1">
      <alignment vertical="center"/>
    </xf>
    <xf numFmtId="164" fontId="1" fillId="0" borderId="0" xfId="0" applyNumberFormat="1" applyFont="1" applyAlignment="1">
      <alignment vertical="center"/>
    </xf>
    <xf numFmtId="164" fontId="5" fillId="2" borderId="0" xfId="0" applyNumberFormat="1" applyFont="1" applyFill="1" applyAlignment="1">
      <alignment vertical="center"/>
    </xf>
    <xf numFmtId="0" fontId="9" fillId="3" borderId="0" xfId="0" applyFont="1" applyFill="1" applyAlignment="1">
      <alignment horizontal="center" vertical="center" wrapText="1"/>
    </xf>
    <xf numFmtId="0" fontId="7" fillId="0" borderId="0" xfId="1"/>
    <xf numFmtId="0" fontId="12" fillId="5" borderId="0" xfId="0" applyFont="1" applyFill="1" applyAlignment="1">
      <alignment horizontal="center" vertical="center"/>
    </xf>
    <xf numFmtId="1" fontId="11" fillId="6" borderId="0" xfId="0" applyNumberFormat="1" applyFont="1" applyFill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8" fillId="0" borderId="0" xfId="0" applyFont="1" applyAlignment="1">
      <alignment horizontal="center" vertical="center" wrapText="1"/>
    </xf>
    <xf numFmtId="0" fontId="7" fillId="0" borderId="0" xfId="1" applyAlignment="1">
      <alignment horizontal="center" vertical="center" wrapText="1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colors>
    <mruColors>
      <color rgb="FFFFE5E5"/>
      <color rgb="FFFFCD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285179</xdr:colOff>
      <xdr:row>4</xdr:row>
      <xdr:rowOff>88022</xdr:rowOff>
    </xdr:from>
    <xdr:to>
      <xdr:col>24</xdr:col>
      <xdr:colOff>72797</xdr:colOff>
      <xdr:row>26</xdr:row>
      <xdr:rowOff>113416</xdr:rowOff>
    </xdr:to>
    <xdr:pic>
      <xdr:nvPicPr>
        <xdr:cNvPr id="6" name="Obraz 5">
          <a:extLst>
            <a:ext uri="{FF2B5EF4-FFF2-40B4-BE49-F238E27FC236}">
              <a16:creationId xmlns:a16="http://schemas.microsoft.com/office/drawing/2014/main" id="{3E4FAA73-35A3-02B4-4740-0D6E332437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392329" y="1091322"/>
          <a:ext cx="2994368" cy="4076694"/>
        </a:xfrm>
        <a:prstGeom prst="rect">
          <a:avLst/>
        </a:prstGeom>
      </xdr:spPr>
    </xdr:pic>
    <xdr:clientData/>
  </xdr:twoCellAnchor>
  <xdr:twoCellAnchor editAs="oneCell">
    <xdr:from>
      <xdr:col>10</xdr:col>
      <xdr:colOff>57727</xdr:colOff>
      <xdr:row>37</xdr:row>
      <xdr:rowOff>23090</xdr:rowOff>
    </xdr:from>
    <xdr:to>
      <xdr:col>26</xdr:col>
      <xdr:colOff>264089</xdr:colOff>
      <xdr:row>79</xdr:row>
      <xdr:rowOff>142818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669D3C76-664A-DB95-992B-DE0F533A7D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1614727" y="7400635"/>
          <a:ext cx="12317544" cy="78782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blog.poradnik-budowlany.com/podatki-czyli-jak-dzialaja-wykonawcy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s://youtu.be/FlMn2e980q4?si=bKJPmQRtqFcorGEl" TargetMode="External"/><Relationship Id="rId1" Type="http://schemas.openxmlformats.org/officeDocument/2006/relationships/hyperlink" Target="https://domymodelowe.pl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www.youtube.com/watch?v=Ol_CFRIb8uw" TargetMode="External"/><Relationship Id="rId4" Type="http://schemas.openxmlformats.org/officeDocument/2006/relationships/hyperlink" Target="https://blog.poradnik-budowlany.com/podatki-czyli-jak-dzialaja-wykonawcy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 tint="0.249977111117893"/>
  </sheetPr>
  <dimension ref="B2:W157"/>
  <sheetViews>
    <sheetView showGridLines="0" tabSelected="1" zoomScale="85" zoomScaleNormal="85" workbookViewId="0">
      <pane ySplit="4" topLeftCell="A5" activePane="bottomLeft" state="frozen"/>
      <selection pane="bottomLeft" activeCell="C33" sqref="C33"/>
    </sheetView>
  </sheetViews>
  <sheetFormatPr defaultColWidth="9.1796875" defaultRowHeight="14.5" x14ac:dyDescent="0.35"/>
  <cols>
    <col min="1" max="1" width="4" style="2" customWidth="1"/>
    <col min="2" max="2" width="9.1796875" style="2"/>
    <col min="3" max="3" width="59.1796875" style="2" customWidth="1"/>
    <col min="4" max="4" width="18" style="43" customWidth="1"/>
    <col min="5" max="6" width="13" style="2" customWidth="1"/>
    <col min="7" max="7" width="14" style="2" customWidth="1"/>
    <col min="8" max="8" width="20" style="4" customWidth="1"/>
    <col min="9" max="9" width="9" style="4" customWidth="1"/>
    <col min="10" max="10" width="6" style="4" customWidth="1"/>
    <col min="11" max="11" width="6.26953125" style="4" customWidth="1"/>
    <col min="12" max="12" width="9.1796875" style="2" bestFit="1" customWidth="1"/>
    <col min="13" max="13" width="9.1796875" style="2" customWidth="1"/>
    <col min="14" max="14" width="9.1796875" style="2"/>
    <col min="15" max="15" width="17.26953125" style="2" customWidth="1"/>
    <col min="16" max="16" width="14.54296875" style="2" customWidth="1"/>
    <col min="17" max="17" width="9.1796875" style="2"/>
    <col min="18" max="18" width="12.81640625" style="2" bestFit="1" customWidth="1"/>
    <col min="19" max="19" width="20.54296875" style="2" customWidth="1"/>
    <col min="20" max="16384" width="9.1796875" style="2"/>
  </cols>
  <sheetData>
    <row r="2" spans="2:19" ht="21" x14ac:dyDescent="0.35">
      <c r="B2" s="56" t="s">
        <v>242</v>
      </c>
      <c r="C2" s="56"/>
      <c r="D2" s="56"/>
      <c r="E2" s="56"/>
      <c r="F2" s="56"/>
      <c r="G2" s="56"/>
      <c r="H2" s="56"/>
    </row>
    <row r="3" spans="2:19" x14ac:dyDescent="0.35">
      <c r="D3" s="39"/>
      <c r="M3" s="5"/>
    </row>
    <row r="4" spans="2:19" ht="29" x14ac:dyDescent="0.35">
      <c r="B4" s="18" t="s">
        <v>0</v>
      </c>
      <c r="C4" s="18" t="s">
        <v>1</v>
      </c>
      <c r="D4" s="40" t="s">
        <v>4</v>
      </c>
      <c r="E4" s="18" t="s">
        <v>12</v>
      </c>
      <c r="F4" s="19" t="s">
        <v>5</v>
      </c>
      <c r="G4" s="54" t="s">
        <v>229</v>
      </c>
      <c r="H4" s="27" t="s">
        <v>228</v>
      </c>
      <c r="L4" s="29" t="s">
        <v>203</v>
      </c>
      <c r="M4" s="30"/>
      <c r="N4" s="30"/>
      <c r="O4" s="30"/>
      <c r="P4" s="30"/>
      <c r="Q4" s="30"/>
      <c r="R4" s="30"/>
      <c r="S4" s="30"/>
    </row>
    <row r="5" spans="2:19" x14ac:dyDescent="0.35">
      <c r="B5" s="5"/>
      <c r="C5" s="5"/>
      <c r="D5" s="41"/>
      <c r="E5" s="5"/>
      <c r="F5" s="5"/>
      <c r="G5" s="5"/>
    </row>
    <row r="6" spans="2:19" x14ac:dyDescent="0.35">
      <c r="B6" s="24"/>
      <c r="C6" s="24" t="s">
        <v>223</v>
      </c>
      <c r="D6" s="42"/>
      <c r="E6" s="24"/>
      <c r="F6" s="24"/>
      <c r="G6" s="24"/>
      <c r="H6" s="25"/>
      <c r="L6" s="2" t="s">
        <v>232</v>
      </c>
      <c r="P6" s="38" t="s">
        <v>201</v>
      </c>
      <c r="R6" s="2" t="s">
        <v>236</v>
      </c>
    </row>
    <row r="7" spans="2:19" x14ac:dyDescent="0.35">
      <c r="B7" s="2" t="s">
        <v>2</v>
      </c>
      <c r="C7" s="2" t="s">
        <v>8</v>
      </c>
      <c r="E7" s="2" t="s">
        <v>6</v>
      </c>
      <c r="G7" s="8">
        <v>6000</v>
      </c>
      <c r="H7" s="8"/>
      <c r="L7" s="36" t="s">
        <v>239</v>
      </c>
      <c r="P7" s="38" t="s">
        <v>235</v>
      </c>
    </row>
    <row r="8" spans="2:19" x14ac:dyDescent="0.35">
      <c r="B8" s="2" t="s">
        <v>38</v>
      </c>
      <c r="C8" s="2" t="s">
        <v>3</v>
      </c>
      <c r="E8" s="2" t="s">
        <v>6</v>
      </c>
      <c r="G8" s="8">
        <v>1200</v>
      </c>
      <c r="H8" s="8"/>
      <c r="L8" s="2" t="s">
        <v>243</v>
      </c>
      <c r="M8" s="6"/>
      <c r="N8" s="6"/>
      <c r="O8" s="6"/>
      <c r="P8" s="55" t="s">
        <v>244</v>
      </c>
      <c r="Q8" s="6"/>
      <c r="R8" s="6"/>
      <c r="S8" s="6"/>
    </row>
    <row r="9" spans="2:19" x14ac:dyDescent="0.35">
      <c r="B9" s="2" t="s">
        <v>39</v>
      </c>
      <c r="C9" s="2" t="s">
        <v>7</v>
      </c>
      <c r="E9" s="2" t="s">
        <v>6</v>
      </c>
      <c r="G9" s="8">
        <v>2200</v>
      </c>
      <c r="H9" s="8"/>
      <c r="L9" s="6" t="s">
        <v>233</v>
      </c>
      <c r="M9" s="6"/>
      <c r="N9" s="6"/>
      <c r="O9" s="6"/>
      <c r="P9" s="6"/>
      <c r="Q9" s="6"/>
      <c r="R9" s="6"/>
      <c r="S9" s="6"/>
    </row>
    <row r="10" spans="2:19" x14ac:dyDescent="0.35">
      <c r="B10" s="21"/>
      <c r="C10" s="17" t="s">
        <v>224</v>
      </c>
      <c r="D10" s="44"/>
      <c r="E10" s="17"/>
      <c r="F10" s="17"/>
      <c r="G10" s="50">
        <f>SUM(G7:G9)</f>
        <v>9400</v>
      </c>
      <c r="H10" s="50">
        <f>G10*1.08</f>
        <v>10152</v>
      </c>
      <c r="I10" s="5"/>
      <c r="J10" s="5"/>
      <c r="K10" s="5"/>
      <c r="L10" s="6" t="s">
        <v>234</v>
      </c>
      <c r="M10" s="6"/>
      <c r="N10" s="6"/>
      <c r="O10" s="6"/>
      <c r="P10" s="6"/>
      <c r="Q10" s="6"/>
      <c r="R10" s="6"/>
      <c r="S10" s="6"/>
    </row>
    <row r="11" spans="2:19" x14ac:dyDescent="0.35">
      <c r="C11" s="5"/>
      <c r="D11" s="41"/>
      <c r="E11" s="5"/>
      <c r="F11" s="5"/>
      <c r="G11" s="7"/>
      <c r="I11" s="5"/>
      <c r="J11" s="5"/>
      <c r="K11" s="5"/>
      <c r="L11" s="6" t="s">
        <v>230</v>
      </c>
      <c r="M11" s="6"/>
      <c r="N11" s="6"/>
      <c r="O11" s="6"/>
      <c r="P11" s="6"/>
      <c r="Q11" s="6"/>
      <c r="R11" s="6"/>
      <c r="S11" s="6"/>
    </row>
    <row r="12" spans="2:19" x14ac:dyDescent="0.35">
      <c r="B12" s="24"/>
      <c r="C12" s="24" t="s">
        <v>238</v>
      </c>
      <c r="D12" s="42"/>
      <c r="E12" s="24"/>
      <c r="F12" s="24"/>
      <c r="G12" s="28"/>
      <c r="H12" s="25"/>
      <c r="L12" s="6" t="s">
        <v>231</v>
      </c>
    </row>
    <row r="13" spans="2:19" x14ac:dyDescent="0.35">
      <c r="B13" s="2" t="s">
        <v>40</v>
      </c>
      <c r="C13" s="2" t="s">
        <v>9</v>
      </c>
      <c r="D13" s="43">
        <v>8</v>
      </c>
      <c r="E13" s="2" t="s">
        <v>13</v>
      </c>
      <c r="F13" s="2">
        <v>180</v>
      </c>
      <c r="G13" s="8">
        <f>D13*F13</f>
        <v>1440</v>
      </c>
    </row>
    <row r="14" spans="2:19" x14ac:dyDescent="0.35">
      <c r="B14" s="2" t="s">
        <v>41</v>
      </c>
      <c r="C14" s="2" t="s">
        <v>10</v>
      </c>
      <c r="D14" s="43">
        <v>5</v>
      </c>
      <c r="E14" s="2" t="s">
        <v>14</v>
      </c>
      <c r="F14" s="2">
        <v>300</v>
      </c>
      <c r="G14" s="8">
        <f t="shared" ref="G14:G18" si="0">D14*F14</f>
        <v>1500</v>
      </c>
      <c r="L14" s="18" t="s">
        <v>202</v>
      </c>
      <c r="M14" s="18"/>
      <c r="N14" s="20"/>
      <c r="O14" s="20"/>
      <c r="P14" s="20"/>
      <c r="Q14" s="20"/>
      <c r="R14" s="20"/>
      <c r="S14" s="20"/>
    </row>
    <row r="15" spans="2:19" x14ac:dyDescent="0.35">
      <c r="B15" s="2" t="s">
        <v>42</v>
      </c>
      <c r="C15" s="2" t="s">
        <v>11</v>
      </c>
      <c r="D15" s="43">
        <v>2</v>
      </c>
      <c r="E15" s="2" t="s">
        <v>13</v>
      </c>
      <c r="F15" s="2">
        <v>330</v>
      </c>
      <c r="G15" s="8">
        <f t="shared" si="0"/>
        <v>660</v>
      </c>
    </row>
    <row r="16" spans="2:19" x14ac:dyDescent="0.35">
      <c r="B16" s="2" t="s">
        <v>43</v>
      </c>
      <c r="C16" s="2" t="s">
        <v>69</v>
      </c>
      <c r="D16" s="43">
        <v>720</v>
      </c>
      <c r="E16" s="2" t="s">
        <v>15</v>
      </c>
      <c r="F16" s="2">
        <v>4.05</v>
      </c>
      <c r="G16" s="8">
        <f t="shared" si="0"/>
        <v>2916</v>
      </c>
      <c r="L16" s="31" t="s">
        <v>206</v>
      </c>
    </row>
    <row r="17" spans="2:19" x14ac:dyDescent="0.35">
      <c r="B17" s="2" t="s">
        <v>44</v>
      </c>
      <c r="C17" s="2" t="s">
        <v>22</v>
      </c>
      <c r="D17" s="43">
        <v>10</v>
      </c>
      <c r="E17" s="2" t="s">
        <v>15</v>
      </c>
      <c r="G17" s="8">
        <v>130</v>
      </c>
      <c r="L17" s="2" t="s">
        <v>205</v>
      </c>
    </row>
    <row r="18" spans="2:19" x14ac:dyDescent="0.35">
      <c r="B18" s="2" t="s">
        <v>45</v>
      </c>
      <c r="C18" s="2" t="s">
        <v>16</v>
      </c>
      <c r="D18" s="43">
        <v>13</v>
      </c>
      <c r="E18" s="2" t="s">
        <v>14</v>
      </c>
      <c r="F18" s="2">
        <v>330</v>
      </c>
      <c r="G18" s="8">
        <f t="shared" si="0"/>
        <v>4290</v>
      </c>
      <c r="L18" s="31" t="s">
        <v>225</v>
      </c>
    </row>
    <row r="19" spans="2:19" x14ac:dyDescent="0.35">
      <c r="B19" s="2" t="s">
        <v>46</v>
      </c>
      <c r="C19" s="2" t="s">
        <v>11</v>
      </c>
      <c r="D19" s="43">
        <v>2</v>
      </c>
      <c r="E19" s="2" t="s">
        <v>13</v>
      </c>
      <c r="F19" s="2">
        <v>330</v>
      </c>
      <c r="G19" s="8">
        <f t="shared" ref="G19" si="1">D19*F19</f>
        <v>660</v>
      </c>
      <c r="L19" s="31" t="s">
        <v>227</v>
      </c>
    </row>
    <row r="20" spans="2:19" x14ac:dyDescent="0.35">
      <c r="B20" s="2" t="s">
        <v>47</v>
      </c>
      <c r="C20" s="2" t="s">
        <v>24</v>
      </c>
      <c r="D20" s="43">
        <v>30</v>
      </c>
      <c r="E20" s="2" t="s">
        <v>17</v>
      </c>
      <c r="F20" s="2">
        <v>25</v>
      </c>
      <c r="G20" s="8">
        <f>D20*F20</f>
        <v>750</v>
      </c>
    </row>
    <row r="21" spans="2:19" x14ac:dyDescent="0.35">
      <c r="B21" s="2" t="s">
        <v>48</v>
      </c>
      <c r="C21" s="2" t="s">
        <v>18</v>
      </c>
      <c r="D21" s="43">
        <v>5</v>
      </c>
      <c r="E21" s="2" t="s">
        <v>19</v>
      </c>
      <c r="G21" s="8">
        <v>50</v>
      </c>
      <c r="L21" s="35" t="s">
        <v>223</v>
      </c>
      <c r="M21" s="17"/>
      <c r="N21" s="17"/>
      <c r="O21" s="17"/>
      <c r="P21" s="8">
        <f>G10</f>
        <v>9400</v>
      </c>
      <c r="Q21" s="2" t="s">
        <v>101</v>
      </c>
    </row>
    <row r="22" spans="2:19" x14ac:dyDescent="0.35">
      <c r="B22" s="2" t="s">
        <v>49</v>
      </c>
      <c r="C22" s="2" t="s">
        <v>23</v>
      </c>
      <c r="D22" s="43">
        <v>840</v>
      </c>
      <c r="E22" s="2" t="s">
        <v>20</v>
      </c>
      <c r="F22" s="2">
        <v>3.4</v>
      </c>
      <c r="G22" s="8">
        <f>D22*F22</f>
        <v>2856</v>
      </c>
      <c r="L22" s="35" t="str">
        <f>C12</f>
        <v>STAN SUROWY OTWARTY (bez pokrycia dachowego)</v>
      </c>
      <c r="M22" s="17"/>
      <c r="N22" s="17"/>
      <c r="O22" s="17"/>
      <c r="P22" s="8">
        <f>G58</f>
        <v>177945.4</v>
      </c>
      <c r="Q22" s="2" t="s">
        <v>101</v>
      </c>
    </row>
    <row r="23" spans="2:19" x14ac:dyDescent="0.35">
      <c r="B23" s="2" t="s">
        <v>50</v>
      </c>
      <c r="C23" s="2" t="s">
        <v>25</v>
      </c>
      <c r="D23" s="49">
        <v>2900</v>
      </c>
      <c r="E23" s="2" t="s">
        <v>15</v>
      </c>
      <c r="F23" s="2">
        <v>0.65</v>
      </c>
      <c r="G23" s="8">
        <f>D23*F23</f>
        <v>1885</v>
      </c>
      <c r="L23" s="35" t="str">
        <f>C60</f>
        <v>PRACE ZEWNĘTRZNE</v>
      </c>
      <c r="M23" s="17"/>
      <c r="N23" s="17"/>
      <c r="O23" s="17"/>
      <c r="P23" s="8">
        <f>G91</f>
        <v>177583.2</v>
      </c>
      <c r="Q23" s="2" t="s">
        <v>101</v>
      </c>
    </row>
    <row r="24" spans="2:19" x14ac:dyDescent="0.35">
      <c r="B24" s="2" t="s">
        <v>51</v>
      </c>
      <c r="C24" s="2" t="s">
        <v>21</v>
      </c>
      <c r="D24" s="43">
        <v>1</v>
      </c>
      <c r="E24" s="2" t="s">
        <v>14</v>
      </c>
      <c r="F24" s="2">
        <v>330</v>
      </c>
      <c r="G24" s="8">
        <f>D24*F24</f>
        <v>330</v>
      </c>
      <c r="L24" s="35" t="str">
        <f>C93</f>
        <v>PRACE WEWNĘTRZNE</v>
      </c>
      <c r="M24" s="17"/>
      <c r="N24" s="17"/>
      <c r="O24" s="17"/>
      <c r="P24" s="8">
        <f>G111</f>
        <v>96148</v>
      </c>
      <c r="Q24" s="2" t="s">
        <v>101</v>
      </c>
    </row>
    <row r="25" spans="2:19" x14ac:dyDescent="0.35">
      <c r="B25" s="2" t="s">
        <v>52</v>
      </c>
      <c r="C25" s="2" t="s">
        <v>11</v>
      </c>
      <c r="D25" s="43">
        <v>1</v>
      </c>
      <c r="E25" s="2" t="s">
        <v>13</v>
      </c>
      <c r="F25" s="2">
        <v>300</v>
      </c>
      <c r="G25" s="8">
        <f t="shared" ref="G25" si="2">D25*F25</f>
        <v>300</v>
      </c>
      <c r="L25" s="35" t="str">
        <f>C113</f>
        <v>INSTALACJE</v>
      </c>
      <c r="M25" s="17"/>
      <c r="N25" s="17"/>
      <c r="O25" s="17"/>
      <c r="P25" s="8">
        <f>G127</f>
        <v>124400</v>
      </c>
      <c r="Q25" s="2" t="s">
        <v>101</v>
      </c>
    </row>
    <row r="26" spans="2:19" x14ac:dyDescent="0.35">
      <c r="B26" s="2" t="s">
        <v>53</v>
      </c>
      <c r="C26" s="2" t="s">
        <v>26</v>
      </c>
      <c r="D26" s="43">
        <v>20</v>
      </c>
      <c r="E26" s="2" t="s">
        <v>27</v>
      </c>
      <c r="G26" s="8">
        <v>65</v>
      </c>
      <c r="L26" s="35" t="str">
        <f>C129</f>
        <v>INNE</v>
      </c>
      <c r="M26" s="34"/>
      <c r="N26" s="34"/>
      <c r="O26" s="34"/>
      <c r="P26" s="9">
        <f>G132</f>
        <v>5000</v>
      </c>
      <c r="Q26" s="2" t="s">
        <v>101</v>
      </c>
    </row>
    <row r="27" spans="2:19" x14ac:dyDescent="0.35">
      <c r="B27" s="2" t="s">
        <v>54</v>
      </c>
      <c r="C27" s="2" t="s">
        <v>28</v>
      </c>
      <c r="D27" s="43">
        <v>600</v>
      </c>
      <c r="E27" s="2" t="s">
        <v>15</v>
      </c>
      <c r="F27" s="2">
        <v>8.4</v>
      </c>
      <c r="G27" s="8">
        <f t="shared" ref="G27:G32" si="3">D27*F27</f>
        <v>5040</v>
      </c>
      <c r="L27" s="18" t="s">
        <v>171</v>
      </c>
      <c r="M27" s="18"/>
      <c r="N27" s="20"/>
      <c r="O27" s="20"/>
      <c r="P27" s="32">
        <f>SUM(P21:P26)</f>
        <v>590476.6</v>
      </c>
      <c r="Q27" s="18" t="s">
        <v>101</v>
      </c>
      <c r="R27" s="33">
        <f>P27/136</f>
        <v>4341.7397058823526</v>
      </c>
      <c r="S27" s="24" t="s">
        <v>207</v>
      </c>
    </row>
    <row r="28" spans="2:19" x14ac:dyDescent="0.35">
      <c r="B28" s="2" t="s">
        <v>55</v>
      </c>
      <c r="C28" s="2" t="s">
        <v>29</v>
      </c>
      <c r="D28" s="43">
        <v>8.1</v>
      </c>
      <c r="E28" s="2" t="s">
        <v>14</v>
      </c>
      <c r="F28" s="2">
        <v>360</v>
      </c>
      <c r="G28" s="8">
        <f t="shared" si="3"/>
        <v>2916</v>
      </c>
      <c r="P28" s="32">
        <f>P27*1.08</f>
        <v>637714.728</v>
      </c>
      <c r="Q28" s="18" t="s">
        <v>204</v>
      </c>
      <c r="R28" s="33">
        <f>P28/136</f>
        <v>4689.078882352941</v>
      </c>
      <c r="S28" s="24" t="s">
        <v>207</v>
      </c>
    </row>
    <row r="29" spans="2:19" x14ac:dyDescent="0.35">
      <c r="B29" s="2" t="s">
        <v>56</v>
      </c>
      <c r="C29" s="2" t="s">
        <v>30</v>
      </c>
      <c r="D29" s="43">
        <v>12</v>
      </c>
      <c r="E29" s="2" t="s">
        <v>20</v>
      </c>
      <c r="F29" s="2">
        <v>26</v>
      </c>
      <c r="G29" s="8">
        <f t="shared" si="3"/>
        <v>312</v>
      </c>
    </row>
    <row r="30" spans="2:19" x14ac:dyDescent="0.35">
      <c r="B30" s="2" t="s">
        <v>57</v>
      </c>
      <c r="C30" s="2" t="s">
        <v>31</v>
      </c>
      <c r="D30" s="43">
        <v>60</v>
      </c>
      <c r="E30" s="2" t="s">
        <v>17</v>
      </c>
      <c r="F30" s="2">
        <v>6</v>
      </c>
      <c r="G30" s="8">
        <f t="shared" si="3"/>
        <v>360</v>
      </c>
      <c r="L30" s="59" t="s">
        <v>240</v>
      </c>
      <c r="M30" s="59"/>
      <c r="N30" s="59"/>
      <c r="O30" s="59"/>
      <c r="P30" s="59"/>
      <c r="Q30" s="59"/>
      <c r="R30" s="59"/>
      <c r="S30" s="59"/>
    </row>
    <row r="31" spans="2:19" ht="36" x14ac:dyDescent="0.35">
      <c r="B31" s="2" t="s">
        <v>58</v>
      </c>
      <c r="C31" s="2" t="s">
        <v>34</v>
      </c>
      <c r="D31" s="43">
        <v>280</v>
      </c>
      <c r="E31" s="2" t="s">
        <v>33</v>
      </c>
      <c r="F31" s="2">
        <v>40</v>
      </c>
      <c r="G31" s="8">
        <f t="shared" si="3"/>
        <v>11200</v>
      </c>
      <c r="H31" s="37" t="s">
        <v>226</v>
      </c>
      <c r="J31" s="1"/>
      <c r="K31" s="1"/>
      <c r="L31" s="59"/>
      <c r="M31" s="59"/>
      <c r="N31" s="59"/>
      <c r="O31" s="59"/>
      <c r="P31" s="59"/>
      <c r="Q31" s="59"/>
      <c r="R31" s="59"/>
      <c r="S31" s="59"/>
    </row>
    <row r="32" spans="2:19" x14ac:dyDescent="0.35">
      <c r="B32" s="2" t="s">
        <v>59</v>
      </c>
      <c r="C32" s="2" t="s">
        <v>132</v>
      </c>
      <c r="D32" s="43">
        <v>8</v>
      </c>
      <c r="E32" s="2" t="s">
        <v>13</v>
      </c>
      <c r="F32" s="2">
        <v>180</v>
      </c>
      <c r="G32" s="8">
        <f t="shared" si="3"/>
        <v>1440</v>
      </c>
      <c r="L32" s="60" t="s">
        <v>241</v>
      </c>
      <c r="M32" s="59"/>
      <c r="N32" s="59"/>
      <c r="O32" s="59" t="s">
        <v>241</v>
      </c>
      <c r="P32" s="59"/>
      <c r="Q32" s="59"/>
      <c r="R32" s="59"/>
      <c r="S32" s="59"/>
    </row>
    <row r="33" spans="2:19" x14ac:dyDescent="0.35">
      <c r="B33" s="2" t="s">
        <v>60</v>
      </c>
      <c r="C33" s="2" t="s">
        <v>35</v>
      </c>
      <c r="E33" s="2" t="s">
        <v>6</v>
      </c>
      <c r="G33" s="8">
        <v>1200</v>
      </c>
    </row>
    <row r="34" spans="2:19" x14ac:dyDescent="0.35">
      <c r="B34" s="2" t="s">
        <v>61</v>
      </c>
      <c r="C34" s="2" t="s">
        <v>36</v>
      </c>
      <c r="E34" s="2" t="s">
        <v>6</v>
      </c>
      <c r="G34" s="8">
        <v>140</v>
      </c>
      <c r="L34" s="17" t="s">
        <v>209</v>
      </c>
      <c r="M34" s="17"/>
      <c r="N34" s="21"/>
      <c r="O34" s="21"/>
      <c r="P34" s="21"/>
      <c r="Q34" s="21"/>
      <c r="R34" s="21"/>
      <c r="S34" s="21"/>
    </row>
    <row r="35" spans="2:19" x14ac:dyDescent="0.35">
      <c r="B35" s="2" t="s">
        <v>62</v>
      </c>
      <c r="C35" s="2" t="s">
        <v>37</v>
      </c>
      <c r="D35" s="43">
        <v>15</v>
      </c>
      <c r="E35" s="2" t="s">
        <v>14</v>
      </c>
      <c r="F35" s="2">
        <v>300</v>
      </c>
      <c r="G35" s="8">
        <f t="shared" ref="G35:G36" si="4">D35*F35</f>
        <v>4500</v>
      </c>
      <c r="L35" s="2" t="s">
        <v>210</v>
      </c>
      <c r="O35" s="2" t="s">
        <v>6</v>
      </c>
      <c r="P35" s="8">
        <v>21005</v>
      </c>
      <c r="Q35" s="2" t="s">
        <v>101</v>
      </c>
    </row>
    <row r="36" spans="2:19" x14ac:dyDescent="0.35">
      <c r="B36" s="2" t="s">
        <v>80</v>
      </c>
      <c r="C36" s="2" t="s">
        <v>11</v>
      </c>
      <c r="D36" s="43">
        <v>3</v>
      </c>
      <c r="E36" s="2" t="s">
        <v>13</v>
      </c>
      <c r="F36" s="2">
        <v>330</v>
      </c>
      <c r="G36" s="8">
        <f t="shared" si="4"/>
        <v>990</v>
      </c>
      <c r="L36" s="2" t="s">
        <v>211</v>
      </c>
      <c r="O36" s="2" t="s">
        <v>6</v>
      </c>
      <c r="P36" s="8">
        <v>36000</v>
      </c>
      <c r="Q36" s="2" t="s">
        <v>101</v>
      </c>
    </row>
    <row r="37" spans="2:19" x14ac:dyDescent="0.35">
      <c r="B37" s="2" t="s">
        <v>81</v>
      </c>
      <c r="C37" s="2" t="s">
        <v>63</v>
      </c>
      <c r="D37" s="43">
        <v>30</v>
      </c>
      <c r="E37" s="2" t="s">
        <v>17</v>
      </c>
      <c r="F37" s="2">
        <v>25</v>
      </c>
      <c r="G37" s="8">
        <f>D37*F37</f>
        <v>750</v>
      </c>
      <c r="S37" s="5"/>
    </row>
    <row r="38" spans="2:19" x14ac:dyDescent="0.35">
      <c r="B38" s="2" t="s">
        <v>82</v>
      </c>
      <c r="C38" s="2" t="s">
        <v>64</v>
      </c>
      <c r="D38" s="43">
        <v>5</v>
      </c>
      <c r="E38" s="2" t="s">
        <v>19</v>
      </c>
      <c r="G38" s="8">
        <v>50</v>
      </c>
    </row>
    <row r="39" spans="2:19" x14ac:dyDescent="0.35">
      <c r="B39" s="2" t="s">
        <v>83</v>
      </c>
      <c r="C39" s="2" t="s">
        <v>65</v>
      </c>
      <c r="D39" s="43">
        <f>118*7</f>
        <v>826</v>
      </c>
      <c r="E39" s="2" t="s">
        <v>20</v>
      </c>
      <c r="F39" s="2">
        <v>13</v>
      </c>
      <c r="G39" s="8">
        <f t="shared" ref="G39:G53" si="5">D39*F39</f>
        <v>10738</v>
      </c>
      <c r="L39" s="3"/>
    </row>
    <row r="40" spans="2:19" x14ac:dyDescent="0.35">
      <c r="B40" s="2" t="s">
        <v>84</v>
      </c>
      <c r="C40" s="2" t="s">
        <v>66</v>
      </c>
      <c r="D40" s="43">
        <v>460</v>
      </c>
      <c r="E40" s="2" t="s">
        <v>15</v>
      </c>
      <c r="F40" s="2">
        <v>0.65</v>
      </c>
      <c r="G40" s="8">
        <f t="shared" si="5"/>
        <v>299</v>
      </c>
      <c r="L40" s="58"/>
      <c r="M40" s="58"/>
      <c r="N40" s="58"/>
      <c r="O40" s="58"/>
      <c r="P40" s="10"/>
      <c r="Q40" s="58"/>
      <c r="R40" s="58"/>
      <c r="S40" s="58"/>
    </row>
    <row r="41" spans="2:19" x14ac:dyDescent="0.35">
      <c r="B41" s="2" t="s">
        <v>85</v>
      </c>
      <c r="C41" s="2" t="s">
        <v>67</v>
      </c>
      <c r="D41" s="43">
        <f>118*4.5</f>
        <v>531</v>
      </c>
      <c r="E41" s="2" t="s">
        <v>15</v>
      </c>
      <c r="F41" s="2">
        <v>1.55</v>
      </c>
      <c r="G41" s="8">
        <f t="shared" si="5"/>
        <v>823.05000000000007</v>
      </c>
      <c r="L41" s="3"/>
    </row>
    <row r="42" spans="2:19" x14ac:dyDescent="0.35">
      <c r="B42" s="2" t="s">
        <v>86</v>
      </c>
      <c r="C42" s="2" t="s">
        <v>68</v>
      </c>
      <c r="D42" s="43">
        <f>0.4*45</f>
        <v>18</v>
      </c>
      <c r="E42" s="2" t="s">
        <v>15</v>
      </c>
      <c r="F42" s="2">
        <v>3.95</v>
      </c>
      <c r="G42" s="8">
        <f t="shared" si="5"/>
        <v>71.100000000000009</v>
      </c>
    </row>
    <row r="43" spans="2:19" x14ac:dyDescent="0.35">
      <c r="B43" s="2" t="s">
        <v>87</v>
      </c>
      <c r="C43" s="2" t="s">
        <v>70</v>
      </c>
      <c r="D43" s="43">
        <v>2</v>
      </c>
      <c r="E43" s="2" t="s">
        <v>20</v>
      </c>
      <c r="F43" s="2">
        <v>65</v>
      </c>
      <c r="G43" s="8">
        <f t="shared" si="5"/>
        <v>130</v>
      </c>
    </row>
    <row r="44" spans="2:19" x14ac:dyDescent="0.35">
      <c r="B44" s="2" t="s">
        <v>88</v>
      </c>
      <c r="C44" s="2" t="s">
        <v>71</v>
      </c>
      <c r="D44" s="43">
        <v>8</v>
      </c>
      <c r="E44" s="2" t="s">
        <v>14</v>
      </c>
      <c r="F44" s="2">
        <v>330</v>
      </c>
      <c r="G44" s="8">
        <f t="shared" si="5"/>
        <v>2640</v>
      </c>
    </row>
    <row r="45" spans="2:19" x14ac:dyDescent="0.35">
      <c r="B45" s="2" t="s">
        <v>89</v>
      </c>
      <c r="C45" s="2" t="s">
        <v>73</v>
      </c>
      <c r="D45" s="43">
        <v>25</v>
      </c>
      <c r="E45" s="2" t="s">
        <v>14</v>
      </c>
      <c r="F45" s="2">
        <v>25</v>
      </c>
      <c r="G45" s="8">
        <f t="shared" si="5"/>
        <v>625</v>
      </c>
    </row>
    <row r="46" spans="2:19" x14ac:dyDescent="0.35">
      <c r="B46" s="2" t="s">
        <v>90</v>
      </c>
      <c r="C46" s="2" t="s">
        <v>72</v>
      </c>
      <c r="D46" s="49">
        <f>195*7</f>
        <v>1365</v>
      </c>
      <c r="E46" s="2" t="s">
        <v>20</v>
      </c>
      <c r="F46" s="2">
        <v>7.5</v>
      </c>
      <c r="G46" s="8">
        <f t="shared" si="5"/>
        <v>10237.5</v>
      </c>
    </row>
    <row r="47" spans="2:19" x14ac:dyDescent="0.35">
      <c r="B47" s="2" t="s">
        <v>91</v>
      </c>
      <c r="C47" s="2" t="s">
        <v>66</v>
      </c>
      <c r="D47" s="43">
        <v>280</v>
      </c>
      <c r="E47" s="2" t="s">
        <v>15</v>
      </c>
      <c r="F47" s="2">
        <v>0.65</v>
      </c>
      <c r="G47" s="8">
        <f t="shared" si="5"/>
        <v>182</v>
      </c>
    </row>
    <row r="48" spans="2:19" x14ac:dyDescent="0.35">
      <c r="B48" s="2" t="s">
        <v>92</v>
      </c>
      <c r="C48" s="2" t="s">
        <v>74</v>
      </c>
      <c r="D48" s="43">
        <f>118*2.5</f>
        <v>295</v>
      </c>
      <c r="E48" s="2" t="s">
        <v>15</v>
      </c>
      <c r="F48" s="2">
        <v>1.55</v>
      </c>
      <c r="G48" s="8">
        <f t="shared" si="5"/>
        <v>457.25</v>
      </c>
    </row>
    <row r="49" spans="2:18" x14ac:dyDescent="0.35">
      <c r="B49" s="2" t="s">
        <v>93</v>
      </c>
      <c r="C49" s="2" t="s">
        <v>75</v>
      </c>
      <c r="D49" s="43">
        <f>2*65*0.4</f>
        <v>52</v>
      </c>
      <c r="E49" s="2" t="s">
        <v>15</v>
      </c>
      <c r="F49" s="2">
        <v>3.85</v>
      </c>
      <c r="G49" s="8">
        <f t="shared" si="5"/>
        <v>200.20000000000002</v>
      </c>
    </row>
    <row r="50" spans="2:18" x14ac:dyDescent="0.35">
      <c r="B50" s="2" t="s">
        <v>94</v>
      </c>
      <c r="C50" s="2" t="s">
        <v>76</v>
      </c>
      <c r="D50" s="43">
        <v>10</v>
      </c>
      <c r="E50" s="2" t="s">
        <v>20</v>
      </c>
      <c r="F50" s="2">
        <v>28</v>
      </c>
      <c r="G50" s="8">
        <f t="shared" si="5"/>
        <v>280</v>
      </c>
    </row>
    <row r="51" spans="2:18" x14ac:dyDescent="0.35">
      <c r="B51" s="2" t="s">
        <v>95</v>
      </c>
      <c r="C51" s="2" t="s">
        <v>79</v>
      </c>
      <c r="D51" s="43">
        <f>28*7</f>
        <v>196</v>
      </c>
      <c r="E51" s="2" t="s">
        <v>20</v>
      </c>
      <c r="F51" s="2">
        <v>13</v>
      </c>
      <c r="G51" s="8">
        <f t="shared" si="5"/>
        <v>2548</v>
      </c>
    </row>
    <row r="52" spans="2:18" x14ac:dyDescent="0.35">
      <c r="B52" s="2" t="s">
        <v>96</v>
      </c>
      <c r="C52" s="2" t="s">
        <v>66</v>
      </c>
      <c r="D52" s="43">
        <v>160</v>
      </c>
      <c r="E52" s="2" t="s">
        <v>15</v>
      </c>
      <c r="F52" s="2">
        <v>0.65</v>
      </c>
      <c r="G52" s="8">
        <f t="shared" si="5"/>
        <v>104</v>
      </c>
    </row>
    <row r="53" spans="2:18" x14ac:dyDescent="0.35">
      <c r="B53" s="2" t="s">
        <v>97</v>
      </c>
      <c r="C53" s="2" t="s">
        <v>67</v>
      </c>
      <c r="D53" s="43">
        <f>28*4.5</f>
        <v>126</v>
      </c>
      <c r="E53" s="2" t="s">
        <v>15</v>
      </c>
      <c r="F53" s="2">
        <v>1.55</v>
      </c>
      <c r="G53" s="8">
        <f t="shared" si="5"/>
        <v>195.3</v>
      </c>
    </row>
    <row r="54" spans="2:18" x14ac:dyDescent="0.35">
      <c r="B54" s="2" t="s">
        <v>98</v>
      </c>
      <c r="C54" s="2" t="s">
        <v>99</v>
      </c>
      <c r="D54" s="43">
        <v>50</v>
      </c>
      <c r="E54" s="2" t="s">
        <v>32</v>
      </c>
      <c r="G54" s="8">
        <v>50</v>
      </c>
    </row>
    <row r="55" spans="2:18" x14ac:dyDescent="0.35">
      <c r="B55" s="2" t="s">
        <v>100</v>
      </c>
      <c r="C55" s="2" t="s">
        <v>78</v>
      </c>
      <c r="E55" s="2" t="s">
        <v>6</v>
      </c>
      <c r="G55" s="8">
        <v>70000</v>
      </c>
    </row>
    <row r="56" spans="2:18" x14ac:dyDescent="0.35">
      <c r="B56" s="2" t="s">
        <v>105</v>
      </c>
      <c r="C56" s="2" t="s">
        <v>77</v>
      </c>
      <c r="E56" s="2" t="s">
        <v>6</v>
      </c>
      <c r="G56" s="8">
        <v>31500</v>
      </c>
    </row>
    <row r="57" spans="2:18" x14ac:dyDescent="0.35">
      <c r="B57" s="2" t="s">
        <v>106</v>
      </c>
      <c r="C57" s="2" t="s">
        <v>137</v>
      </c>
      <c r="D57" s="43">
        <f>6*25</f>
        <v>150</v>
      </c>
      <c r="E57" s="2" t="s">
        <v>15</v>
      </c>
      <c r="F57" s="2">
        <v>0.9</v>
      </c>
      <c r="G57" s="8">
        <f t="shared" ref="G57" si="6">D57*F57</f>
        <v>135</v>
      </c>
    </row>
    <row r="58" spans="2:18" x14ac:dyDescent="0.35">
      <c r="B58" s="21"/>
      <c r="C58" s="17" t="s">
        <v>237</v>
      </c>
      <c r="D58" s="44"/>
      <c r="E58" s="17"/>
      <c r="F58" s="17"/>
      <c r="G58" s="50">
        <f>SUM(G13:G57)</f>
        <v>177945.4</v>
      </c>
      <c r="H58" s="50">
        <f>G58*1.08</f>
        <v>192181.03200000001</v>
      </c>
      <c r="I58" s="5"/>
      <c r="J58" s="5"/>
      <c r="K58" s="5"/>
      <c r="M58" s="5"/>
      <c r="P58" s="11"/>
    </row>
    <row r="59" spans="2:18" x14ac:dyDescent="0.35">
      <c r="G59" s="4"/>
      <c r="R59" s="10"/>
    </row>
    <row r="60" spans="2:18" x14ac:dyDescent="0.35">
      <c r="B60" s="23"/>
      <c r="C60" s="24" t="s">
        <v>102</v>
      </c>
      <c r="D60" s="45"/>
      <c r="E60" s="23"/>
      <c r="F60" s="23"/>
      <c r="G60" s="25"/>
      <c r="H60" s="22"/>
    </row>
    <row r="61" spans="2:18" x14ac:dyDescent="0.35">
      <c r="B61" s="2" t="s">
        <v>114</v>
      </c>
      <c r="C61" s="2" t="s">
        <v>103</v>
      </c>
      <c r="E61" s="2" t="s">
        <v>6</v>
      </c>
      <c r="G61" s="8">
        <v>38200</v>
      </c>
      <c r="H61" s="57" t="s">
        <v>208</v>
      </c>
      <c r="J61" s="1"/>
      <c r="K61" s="1"/>
    </row>
    <row r="62" spans="2:18" x14ac:dyDescent="0.35">
      <c r="C62" s="2" t="s">
        <v>104</v>
      </c>
      <c r="G62" s="8"/>
      <c r="H62" s="57"/>
      <c r="J62" s="1"/>
      <c r="K62" s="1"/>
    </row>
    <row r="63" spans="2:18" x14ac:dyDescent="0.35">
      <c r="C63" s="2" t="s">
        <v>214</v>
      </c>
      <c r="G63" s="8"/>
      <c r="H63" s="57"/>
      <c r="J63" s="1"/>
      <c r="K63" s="1"/>
    </row>
    <row r="64" spans="2:18" x14ac:dyDescent="0.35">
      <c r="C64" s="2" t="s">
        <v>215</v>
      </c>
      <c r="G64" s="8"/>
      <c r="H64" s="57"/>
      <c r="J64" s="1"/>
      <c r="K64" s="1"/>
    </row>
    <row r="65" spans="2:11" x14ac:dyDescent="0.35">
      <c r="C65" s="2" t="s">
        <v>216</v>
      </c>
      <c r="G65" s="8"/>
      <c r="H65" s="57"/>
      <c r="J65" s="1"/>
      <c r="K65" s="1"/>
    </row>
    <row r="66" spans="2:11" x14ac:dyDescent="0.35">
      <c r="C66" s="2" t="s">
        <v>217</v>
      </c>
      <c r="G66" s="8"/>
      <c r="H66" s="57"/>
      <c r="J66" s="1"/>
      <c r="K66" s="1"/>
    </row>
    <row r="67" spans="2:11" x14ac:dyDescent="0.35">
      <c r="B67" s="2" t="s">
        <v>115</v>
      </c>
      <c r="C67" s="2" t="s">
        <v>135</v>
      </c>
      <c r="E67" s="2" t="s">
        <v>6</v>
      </c>
      <c r="G67" s="51">
        <f>120*240</f>
        <v>28800</v>
      </c>
      <c r="H67" s="57"/>
      <c r="J67" s="1"/>
      <c r="K67" s="1"/>
    </row>
    <row r="68" spans="2:11" x14ac:dyDescent="0.35">
      <c r="G68" s="8"/>
    </row>
    <row r="69" spans="2:11" x14ac:dyDescent="0.35">
      <c r="B69" s="2" t="s">
        <v>116</v>
      </c>
      <c r="C69" s="2" t="s">
        <v>133</v>
      </c>
      <c r="G69" s="52"/>
      <c r="H69" s="12"/>
      <c r="I69" s="12"/>
      <c r="J69" s="12"/>
      <c r="K69" s="12"/>
    </row>
    <row r="70" spans="2:11" x14ac:dyDescent="0.35">
      <c r="C70" s="2" t="s">
        <v>104</v>
      </c>
      <c r="G70" s="8"/>
    </row>
    <row r="71" spans="2:11" x14ac:dyDescent="0.35">
      <c r="C71" s="2" t="s">
        <v>218</v>
      </c>
      <c r="E71" s="2" t="s">
        <v>6</v>
      </c>
      <c r="G71" s="8">
        <v>25456</v>
      </c>
    </row>
    <row r="72" spans="2:11" x14ac:dyDescent="0.35">
      <c r="C72" s="2" t="s">
        <v>219</v>
      </c>
      <c r="E72" s="2" t="s">
        <v>6</v>
      </c>
      <c r="G72" s="8">
        <v>19500</v>
      </c>
    </row>
    <row r="73" spans="2:11" x14ac:dyDescent="0.35">
      <c r="C73" s="2" t="s">
        <v>220</v>
      </c>
      <c r="E73" s="2" t="s">
        <v>6</v>
      </c>
      <c r="G73" s="8">
        <v>9711.85</v>
      </c>
    </row>
    <row r="74" spans="2:11" x14ac:dyDescent="0.35">
      <c r="C74" s="2" t="s">
        <v>221</v>
      </c>
      <c r="E74" s="2" t="s">
        <v>6</v>
      </c>
      <c r="G74" s="8">
        <v>1110</v>
      </c>
    </row>
    <row r="75" spans="2:11" x14ac:dyDescent="0.35">
      <c r="C75" s="2" t="s">
        <v>222</v>
      </c>
      <c r="E75" s="2" t="s">
        <v>6</v>
      </c>
      <c r="G75" s="8">
        <v>3660</v>
      </c>
    </row>
    <row r="76" spans="2:11" x14ac:dyDescent="0.35">
      <c r="G76" s="8"/>
    </row>
    <row r="77" spans="2:11" x14ac:dyDescent="0.35">
      <c r="B77" s="2" t="s">
        <v>117</v>
      </c>
      <c r="C77" s="2" t="s">
        <v>107</v>
      </c>
      <c r="D77" s="43">
        <f>170*0.2+1</f>
        <v>35</v>
      </c>
      <c r="E77" s="2" t="s">
        <v>14</v>
      </c>
      <c r="F77" s="2">
        <v>300</v>
      </c>
      <c r="G77" s="8">
        <f>D77*F77</f>
        <v>10500</v>
      </c>
    </row>
    <row r="78" spans="2:11" x14ac:dyDescent="0.35">
      <c r="B78" s="2" t="s">
        <v>118</v>
      </c>
      <c r="C78" s="2" t="s">
        <v>125</v>
      </c>
      <c r="D78" s="43">
        <f>170*5.5</f>
        <v>935</v>
      </c>
      <c r="E78" s="2" t="s">
        <v>15</v>
      </c>
      <c r="F78" s="2">
        <v>0.85</v>
      </c>
      <c r="G78" s="8">
        <f t="shared" ref="G78:G81" si="7">D78*F78</f>
        <v>794.75</v>
      </c>
    </row>
    <row r="79" spans="2:11" x14ac:dyDescent="0.35">
      <c r="B79" s="2" t="s">
        <v>119</v>
      </c>
      <c r="C79" s="2" t="s">
        <v>126</v>
      </c>
      <c r="D79" s="49">
        <v>1200</v>
      </c>
      <c r="E79" s="2" t="s">
        <v>20</v>
      </c>
      <c r="F79" s="2">
        <v>0.5</v>
      </c>
      <c r="G79" s="8">
        <f t="shared" si="7"/>
        <v>600</v>
      </c>
    </row>
    <row r="80" spans="2:11" x14ac:dyDescent="0.35">
      <c r="B80" s="2" t="s">
        <v>120</v>
      </c>
      <c r="C80" s="2" t="s">
        <v>109</v>
      </c>
      <c r="D80" s="49">
        <v>1200</v>
      </c>
      <c r="E80" s="2" t="s">
        <v>20</v>
      </c>
      <c r="F80" s="2">
        <v>0.25</v>
      </c>
      <c r="G80" s="8">
        <f t="shared" si="7"/>
        <v>300</v>
      </c>
    </row>
    <row r="81" spans="2:15" x14ac:dyDescent="0.35">
      <c r="B81" s="2" t="s">
        <v>121</v>
      </c>
      <c r="C81" s="2" t="s">
        <v>130</v>
      </c>
      <c r="D81" s="43">
        <v>20</v>
      </c>
      <c r="E81" s="2" t="s">
        <v>20</v>
      </c>
      <c r="F81" s="2">
        <v>32</v>
      </c>
      <c r="G81" s="8">
        <f t="shared" si="7"/>
        <v>640</v>
      </c>
    </row>
    <row r="82" spans="2:15" x14ac:dyDescent="0.35">
      <c r="B82" s="2" t="s">
        <v>122</v>
      </c>
      <c r="C82" s="2" t="s">
        <v>108</v>
      </c>
      <c r="D82" s="43">
        <f>170*1.1</f>
        <v>187.00000000000003</v>
      </c>
      <c r="E82" s="2" t="s">
        <v>17</v>
      </c>
      <c r="F82" s="2">
        <v>3</v>
      </c>
      <c r="G82" s="8">
        <f t="shared" ref="G82:G90" si="8">D82*F82</f>
        <v>561.00000000000011</v>
      </c>
    </row>
    <row r="83" spans="2:15" x14ac:dyDescent="0.35">
      <c r="B83" s="2" t="s">
        <v>123</v>
      </c>
      <c r="C83" s="2" t="s">
        <v>127</v>
      </c>
      <c r="D83" s="43">
        <f>180*3.5</f>
        <v>630</v>
      </c>
      <c r="E83" s="2" t="s">
        <v>15</v>
      </c>
      <c r="F83" s="2">
        <v>0.85</v>
      </c>
      <c r="G83" s="8">
        <f t="shared" si="8"/>
        <v>535.5</v>
      </c>
    </row>
    <row r="84" spans="2:15" x14ac:dyDescent="0.35">
      <c r="B84" s="2" t="s">
        <v>124</v>
      </c>
      <c r="C84" s="2" t="s">
        <v>110</v>
      </c>
      <c r="D84" s="43">
        <v>75</v>
      </c>
      <c r="E84" s="2" t="s">
        <v>32</v>
      </c>
      <c r="F84" s="2">
        <v>2.5</v>
      </c>
      <c r="G84" s="8">
        <f t="shared" si="8"/>
        <v>187.5</v>
      </c>
    </row>
    <row r="85" spans="2:15" x14ac:dyDescent="0.35">
      <c r="B85" s="2" t="s">
        <v>131</v>
      </c>
      <c r="C85" s="2" t="s">
        <v>111</v>
      </c>
      <c r="D85" s="43">
        <v>55</v>
      </c>
      <c r="E85" s="2" t="s">
        <v>32</v>
      </c>
      <c r="F85" s="2">
        <v>5.12</v>
      </c>
      <c r="G85" s="8">
        <f t="shared" si="8"/>
        <v>281.60000000000002</v>
      </c>
    </row>
    <row r="86" spans="2:15" x14ac:dyDescent="0.35">
      <c r="B86" s="2" t="s">
        <v>134</v>
      </c>
      <c r="C86" s="2" t="s">
        <v>112</v>
      </c>
      <c r="D86" s="43">
        <v>40</v>
      </c>
      <c r="E86" s="2" t="s">
        <v>32</v>
      </c>
      <c r="F86" s="2">
        <v>6.5</v>
      </c>
      <c r="G86" s="8">
        <f t="shared" si="8"/>
        <v>260</v>
      </c>
    </row>
    <row r="87" spans="2:15" x14ac:dyDescent="0.35">
      <c r="B87" s="2" t="s">
        <v>136</v>
      </c>
      <c r="C87" s="2" t="s">
        <v>141</v>
      </c>
      <c r="D87" s="43">
        <v>48</v>
      </c>
      <c r="E87" s="2" t="s">
        <v>32</v>
      </c>
      <c r="F87" s="2">
        <v>5</v>
      </c>
      <c r="G87" s="8">
        <f t="shared" si="8"/>
        <v>240</v>
      </c>
    </row>
    <row r="88" spans="2:15" x14ac:dyDescent="0.35">
      <c r="B88" s="2" t="s">
        <v>138</v>
      </c>
      <c r="C88" s="2" t="s">
        <v>128</v>
      </c>
      <c r="D88" s="43">
        <v>50</v>
      </c>
      <c r="E88" s="2" t="s">
        <v>15</v>
      </c>
      <c r="F88" s="2">
        <v>6.9</v>
      </c>
      <c r="G88" s="8">
        <f t="shared" si="8"/>
        <v>345</v>
      </c>
    </row>
    <row r="89" spans="2:15" x14ac:dyDescent="0.35">
      <c r="B89" s="2" t="s">
        <v>139</v>
      </c>
      <c r="C89" s="2" t="s">
        <v>129</v>
      </c>
      <c r="D89" s="43">
        <v>550</v>
      </c>
      <c r="E89" s="2" t="s">
        <v>15</v>
      </c>
      <c r="F89" s="2">
        <v>7.5</v>
      </c>
      <c r="G89" s="8">
        <f t="shared" si="8"/>
        <v>4125</v>
      </c>
    </row>
    <row r="90" spans="2:15" x14ac:dyDescent="0.35">
      <c r="B90" s="2" t="s">
        <v>140</v>
      </c>
      <c r="C90" s="2" t="s">
        <v>113</v>
      </c>
      <c r="D90" s="43">
        <v>205</v>
      </c>
      <c r="E90" s="2" t="s">
        <v>17</v>
      </c>
      <c r="F90" s="2">
        <v>155</v>
      </c>
      <c r="G90" s="8">
        <f t="shared" si="8"/>
        <v>31775</v>
      </c>
      <c r="I90" s="2"/>
      <c r="J90" s="2"/>
      <c r="K90" s="2"/>
      <c r="O90" s="10"/>
    </row>
    <row r="91" spans="2:15" x14ac:dyDescent="0.35">
      <c r="B91" s="21"/>
      <c r="C91" s="17" t="s">
        <v>166</v>
      </c>
      <c r="D91" s="46"/>
      <c r="E91" s="21"/>
      <c r="F91" s="21"/>
      <c r="G91" s="50">
        <f>SUM(G61:G90)</f>
        <v>177583.2</v>
      </c>
      <c r="H91" s="50">
        <f>G91*1.08</f>
        <v>191789.85600000003</v>
      </c>
      <c r="I91" s="2"/>
      <c r="J91" s="2"/>
      <c r="K91" s="2"/>
      <c r="O91" s="11"/>
    </row>
    <row r="92" spans="2:15" x14ac:dyDescent="0.35">
      <c r="G92" s="4"/>
      <c r="I92" s="2"/>
      <c r="J92" s="2"/>
      <c r="K92" s="2"/>
    </row>
    <row r="93" spans="2:15" x14ac:dyDescent="0.35">
      <c r="B93" s="23"/>
      <c r="C93" s="24" t="s">
        <v>142</v>
      </c>
      <c r="D93" s="45"/>
      <c r="E93" s="23"/>
      <c r="F93" s="23"/>
      <c r="G93" s="25"/>
      <c r="H93" s="22"/>
      <c r="I93" s="2"/>
      <c r="J93" s="2"/>
      <c r="K93" s="2"/>
    </row>
    <row r="94" spans="2:15" x14ac:dyDescent="0.35">
      <c r="B94" s="2" t="s">
        <v>172</v>
      </c>
      <c r="C94" s="2" t="s">
        <v>143</v>
      </c>
      <c r="D94" s="43">
        <v>525</v>
      </c>
      <c r="E94" s="2" t="s">
        <v>17</v>
      </c>
      <c r="F94" s="2">
        <v>43</v>
      </c>
      <c r="G94" s="8">
        <f>D94*F94</f>
        <v>22575</v>
      </c>
      <c r="H94" s="8"/>
    </row>
    <row r="95" spans="2:15" x14ac:dyDescent="0.35">
      <c r="B95" s="2" t="s">
        <v>173</v>
      </c>
      <c r="C95" s="2" t="s">
        <v>147</v>
      </c>
      <c r="D95" s="43">
        <v>30</v>
      </c>
      <c r="E95" s="2" t="s">
        <v>15</v>
      </c>
      <c r="G95" s="8">
        <v>150</v>
      </c>
      <c r="H95" s="8"/>
    </row>
    <row r="96" spans="2:15" x14ac:dyDescent="0.35">
      <c r="B96" s="2" t="s">
        <v>174</v>
      </c>
      <c r="C96" s="2" t="s">
        <v>144</v>
      </c>
      <c r="D96" s="43">
        <v>150</v>
      </c>
      <c r="E96" s="2" t="s">
        <v>17</v>
      </c>
      <c r="F96" s="2">
        <v>19</v>
      </c>
      <c r="G96" s="8">
        <f>D96*F96</f>
        <v>2850</v>
      </c>
      <c r="H96" s="8"/>
    </row>
    <row r="97" spans="2:15" x14ac:dyDescent="0.35">
      <c r="B97" s="2" t="s">
        <v>175</v>
      </c>
      <c r="C97" s="2" t="s">
        <v>146</v>
      </c>
      <c r="D97" s="43">
        <v>136</v>
      </c>
      <c r="E97" s="2" t="s">
        <v>17</v>
      </c>
      <c r="F97" s="2">
        <v>4</v>
      </c>
      <c r="G97" s="8">
        <f t="shared" ref="G97:G101" si="9">D97*F97</f>
        <v>544</v>
      </c>
      <c r="H97" s="8"/>
    </row>
    <row r="98" spans="2:15" x14ac:dyDescent="0.35">
      <c r="B98" s="2" t="s">
        <v>176</v>
      </c>
      <c r="C98" s="2" t="s">
        <v>145</v>
      </c>
      <c r="D98" s="43">
        <v>136</v>
      </c>
      <c r="E98" s="2" t="s">
        <v>17</v>
      </c>
      <c r="F98" s="2">
        <v>20</v>
      </c>
      <c r="G98" s="8">
        <f t="shared" si="9"/>
        <v>2720</v>
      </c>
      <c r="H98" s="8"/>
    </row>
    <row r="99" spans="2:15" x14ac:dyDescent="0.35">
      <c r="B99" s="2" t="s">
        <v>177</v>
      </c>
      <c r="C99" s="2" t="s">
        <v>148</v>
      </c>
      <c r="D99" s="43">
        <v>150</v>
      </c>
      <c r="E99" s="2" t="s">
        <v>17</v>
      </c>
      <c r="F99" s="2">
        <v>1.3</v>
      </c>
      <c r="G99" s="8">
        <f t="shared" si="9"/>
        <v>195</v>
      </c>
      <c r="H99" s="8"/>
    </row>
    <row r="100" spans="2:15" x14ac:dyDescent="0.35">
      <c r="B100" s="2" t="s">
        <v>178</v>
      </c>
      <c r="C100" s="2" t="s">
        <v>149</v>
      </c>
      <c r="D100" s="43">
        <f>92*0.3</f>
        <v>27.599999999999998</v>
      </c>
      <c r="E100" s="2" t="s">
        <v>14</v>
      </c>
      <c r="F100" s="2">
        <v>350</v>
      </c>
      <c r="G100" s="8">
        <f t="shared" si="9"/>
        <v>9660</v>
      </c>
      <c r="H100" s="8"/>
    </row>
    <row r="101" spans="2:15" x14ac:dyDescent="0.35">
      <c r="B101" s="2" t="s">
        <v>179</v>
      </c>
      <c r="C101" s="2" t="s">
        <v>150</v>
      </c>
      <c r="D101" s="43">
        <v>136</v>
      </c>
      <c r="E101" s="2" t="s">
        <v>17</v>
      </c>
      <c r="F101" s="2">
        <v>52</v>
      </c>
      <c r="G101" s="8">
        <f t="shared" si="9"/>
        <v>7072</v>
      </c>
      <c r="H101" s="8"/>
    </row>
    <row r="102" spans="2:15" x14ac:dyDescent="0.35">
      <c r="B102" s="2" t="s">
        <v>180</v>
      </c>
      <c r="C102" s="2" t="s">
        <v>158</v>
      </c>
      <c r="E102" s="2" t="s">
        <v>6</v>
      </c>
      <c r="G102" s="8">
        <v>560</v>
      </c>
      <c r="H102" s="8"/>
    </row>
    <row r="103" spans="2:15" x14ac:dyDescent="0.35">
      <c r="B103" s="2" t="s">
        <v>181</v>
      </c>
      <c r="C103" s="2" t="s">
        <v>153</v>
      </c>
      <c r="D103" s="43">
        <f>136*0.025*1.05</f>
        <v>3.5700000000000007</v>
      </c>
      <c r="E103" s="2" t="s">
        <v>17</v>
      </c>
      <c r="F103" s="16">
        <v>1600</v>
      </c>
      <c r="G103" s="8">
        <f t="shared" ref="G103:G109" si="10">D103*F103</f>
        <v>5712.0000000000009</v>
      </c>
      <c r="H103" s="8"/>
    </row>
    <row r="104" spans="2:15" x14ac:dyDescent="0.35">
      <c r="B104" s="2" t="s">
        <v>182</v>
      </c>
      <c r="C104" s="2" t="s">
        <v>151</v>
      </c>
      <c r="D104" s="43">
        <v>135</v>
      </c>
      <c r="E104" s="2" t="s">
        <v>17</v>
      </c>
      <c r="F104" s="2">
        <v>2.5</v>
      </c>
      <c r="G104" s="8">
        <f t="shared" si="10"/>
        <v>337.5</v>
      </c>
      <c r="H104" s="8"/>
    </row>
    <row r="105" spans="2:15" x14ac:dyDescent="0.35">
      <c r="B105" s="2" t="s">
        <v>183</v>
      </c>
      <c r="C105" s="2" t="s">
        <v>154</v>
      </c>
      <c r="D105" s="43">
        <v>150</v>
      </c>
      <c r="E105" s="2" t="s">
        <v>32</v>
      </c>
      <c r="F105" s="2">
        <v>1.4</v>
      </c>
      <c r="G105" s="8">
        <f t="shared" si="10"/>
        <v>210</v>
      </c>
      <c r="H105" s="8"/>
    </row>
    <row r="106" spans="2:15" x14ac:dyDescent="0.35">
      <c r="B106" s="2" t="s">
        <v>184</v>
      </c>
      <c r="C106" s="2" t="s">
        <v>152</v>
      </c>
      <c r="D106" s="43">
        <f>135*2</f>
        <v>270</v>
      </c>
      <c r="E106" s="2" t="s">
        <v>17</v>
      </c>
      <c r="F106" s="2">
        <v>50</v>
      </c>
      <c r="G106" s="8">
        <f t="shared" si="10"/>
        <v>13500</v>
      </c>
      <c r="H106" s="8"/>
    </row>
    <row r="107" spans="2:15" x14ac:dyDescent="0.35">
      <c r="B107" s="2" t="s">
        <v>185</v>
      </c>
      <c r="C107" s="2" t="s">
        <v>155</v>
      </c>
      <c r="D107" s="43">
        <v>150</v>
      </c>
      <c r="E107" s="2" t="s">
        <v>17</v>
      </c>
      <c r="F107" s="2">
        <v>0.95</v>
      </c>
      <c r="G107" s="8">
        <f t="shared" si="10"/>
        <v>142.5</v>
      </c>
      <c r="H107" s="8"/>
    </row>
    <row r="108" spans="2:15" x14ac:dyDescent="0.35">
      <c r="B108" s="2" t="s">
        <v>186</v>
      </c>
      <c r="C108" s="2" t="s">
        <v>156</v>
      </c>
      <c r="D108" s="43">
        <v>136</v>
      </c>
      <c r="E108" s="2" t="s">
        <v>17</v>
      </c>
      <c r="F108" s="2">
        <v>70</v>
      </c>
      <c r="G108" s="8">
        <f t="shared" si="10"/>
        <v>9520</v>
      </c>
      <c r="H108" s="8"/>
    </row>
    <row r="109" spans="2:15" x14ac:dyDescent="0.35">
      <c r="B109" s="2" t="s">
        <v>187</v>
      </c>
      <c r="C109" s="2" t="s">
        <v>157</v>
      </c>
      <c r="D109" s="43">
        <v>136</v>
      </c>
      <c r="E109" s="2" t="s">
        <v>17</v>
      </c>
      <c r="F109" s="2">
        <v>150</v>
      </c>
      <c r="G109" s="8">
        <f t="shared" si="10"/>
        <v>20400</v>
      </c>
      <c r="H109" s="8"/>
      <c r="O109" s="11"/>
    </row>
    <row r="110" spans="2:15" x14ac:dyDescent="0.35">
      <c r="G110" s="8"/>
      <c r="H110" s="8"/>
      <c r="I110" s="2"/>
      <c r="J110" s="2"/>
      <c r="K110" s="2"/>
      <c r="O110" s="11"/>
    </row>
    <row r="111" spans="2:15" x14ac:dyDescent="0.35">
      <c r="B111" s="21"/>
      <c r="C111" s="17" t="s">
        <v>167</v>
      </c>
      <c r="D111" s="46"/>
      <c r="E111" s="21"/>
      <c r="F111" s="21"/>
      <c r="G111" s="50">
        <f>SUM(G94:G109)</f>
        <v>96148</v>
      </c>
      <c r="H111" s="50">
        <f>G111*1.08</f>
        <v>103839.84000000001</v>
      </c>
      <c r="I111" s="2"/>
      <c r="J111" s="2"/>
      <c r="K111" s="2"/>
      <c r="M111" s="5"/>
    </row>
    <row r="112" spans="2:15" x14ac:dyDescent="0.35">
      <c r="G112" s="4"/>
      <c r="I112" s="2"/>
      <c r="J112" s="2"/>
      <c r="K112" s="2"/>
    </row>
    <row r="113" spans="2:13" x14ac:dyDescent="0.35">
      <c r="B113" s="23"/>
      <c r="C113" s="24" t="s">
        <v>168</v>
      </c>
      <c r="D113" s="45"/>
      <c r="E113" s="23"/>
      <c r="F113" s="23"/>
      <c r="G113" s="25"/>
      <c r="H113" s="22"/>
      <c r="I113" s="2"/>
      <c r="J113" s="2"/>
      <c r="K113" s="2"/>
    </row>
    <row r="114" spans="2:13" x14ac:dyDescent="0.35">
      <c r="B114" s="2" t="s">
        <v>188</v>
      </c>
      <c r="C114" s="2" t="s">
        <v>160</v>
      </c>
      <c r="E114" s="2" t="s">
        <v>6</v>
      </c>
      <c r="G114" s="8">
        <v>11500</v>
      </c>
      <c r="H114" s="8"/>
    </row>
    <row r="115" spans="2:13" x14ac:dyDescent="0.35">
      <c r="B115" s="2" t="s">
        <v>189</v>
      </c>
      <c r="C115" s="2" t="s">
        <v>159</v>
      </c>
      <c r="E115" s="2" t="s">
        <v>6</v>
      </c>
      <c r="G115" s="8">
        <v>2900</v>
      </c>
      <c r="H115" s="8"/>
    </row>
    <row r="116" spans="2:13" x14ac:dyDescent="0.35">
      <c r="B116" s="2" t="s">
        <v>190</v>
      </c>
      <c r="C116" s="2" t="s">
        <v>161</v>
      </c>
      <c r="E116" s="2" t="s">
        <v>6</v>
      </c>
      <c r="G116" s="8">
        <v>8500</v>
      </c>
      <c r="H116" s="8"/>
    </row>
    <row r="117" spans="2:13" x14ac:dyDescent="0.35">
      <c r="C117" s="2" t="s">
        <v>104</v>
      </c>
      <c r="G117" s="8"/>
      <c r="H117" s="8"/>
    </row>
    <row r="118" spans="2:13" x14ac:dyDescent="0.35">
      <c r="C118" s="2" t="s">
        <v>169</v>
      </c>
      <c r="G118" s="8"/>
      <c r="H118" s="8"/>
    </row>
    <row r="119" spans="2:13" x14ac:dyDescent="0.35">
      <c r="C119" s="2" t="s">
        <v>212</v>
      </c>
      <c r="G119" s="8"/>
      <c r="H119" s="8"/>
    </row>
    <row r="120" spans="2:13" x14ac:dyDescent="0.35">
      <c r="C120" s="2" t="s">
        <v>213</v>
      </c>
      <c r="G120" s="8"/>
      <c r="H120" s="8"/>
    </row>
    <row r="121" spans="2:13" x14ac:dyDescent="0.35">
      <c r="G121" s="8"/>
      <c r="H121" s="8"/>
    </row>
    <row r="122" spans="2:13" x14ac:dyDescent="0.35">
      <c r="B122" s="2" t="s">
        <v>191</v>
      </c>
      <c r="C122" s="2" t="s">
        <v>162</v>
      </c>
      <c r="E122" s="2" t="s">
        <v>6</v>
      </c>
      <c r="G122" s="8">
        <v>47200</v>
      </c>
      <c r="H122" s="8"/>
    </row>
    <row r="123" spans="2:13" x14ac:dyDescent="0.35">
      <c r="B123" s="2" t="s">
        <v>192</v>
      </c>
      <c r="C123" s="2" t="s">
        <v>163</v>
      </c>
      <c r="E123" s="2" t="s">
        <v>6</v>
      </c>
      <c r="G123" s="8">
        <v>18500</v>
      </c>
      <c r="H123" s="8"/>
    </row>
    <row r="124" spans="2:13" x14ac:dyDescent="0.35">
      <c r="B124" s="2" t="s">
        <v>193</v>
      </c>
      <c r="C124" s="2" t="s">
        <v>164</v>
      </c>
      <c r="E124" s="2" t="s">
        <v>6</v>
      </c>
      <c r="G124" s="8">
        <v>8900</v>
      </c>
      <c r="H124" s="8"/>
    </row>
    <row r="125" spans="2:13" x14ac:dyDescent="0.35">
      <c r="B125" s="2" t="s">
        <v>194</v>
      </c>
      <c r="C125" s="2" t="s">
        <v>165</v>
      </c>
      <c r="E125" s="2" t="s">
        <v>6</v>
      </c>
      <c r="G125" s="8">
        <v>26900</v>
      </c>
      <c r="H125" s="8"/>
    </row>
    <row r="126" spans="2:13" x14ac:dyDescent="0.35">
      <c r="G126" s="8"/>
      <c r="H126" s="8"/>
      <c r="I126" s="2"/>
      <c r="J126" s="2"/>
      <c r="K126" s="2"/>
    </row>
    <row r="127" spans="2:13" x14ac:dyDescent="0.35">
      <c r="B127" s="21"/>
      <c r="C127" s="17" t="s">
        <v>170</v>
      </c>
      <c r="D127" s="46"/>
      <c r="E127" s="21"/>
      <c r="F127" s="21"/>
      <c r="G127" s="50">
        <f>SUM(G114:G125)</f>
        <v>124400</v>
      </c>
      <c r="H127" s="50">
        <f>G127*1.08</f>
        <v>134352</v>
      </c>
      <c r="I127" s="2"/>
      <c r="J127" s="2"/>
      <c r="K127" s="2"/>
      <c r="M127" s="5"/>
    </row>
    <row r="128" spans="2:13" x14ac:dyDescent="0.35">
      <c r="G128" s="4"/>
      <c r="I128" s="2"/>
      <c r="J128" s="2"/>
      <c r="K128" s="2"/>
    </row>
    <row r="129" spans="2:13" x14ac:dyDescent="0.35">
      <c r="B129" s="23"/>
      <c r="C129" s="24" t="s">
        <v>199</v>
      </c>
      <c r="D129" s="45"/>
      <c r="E129" s="23"/>
      <c r="F129" s="23"/>
      <c r="G129" s="25"/>
      <c r="H129" s="25"/>
      <c r="I129" s="2"/>
      <c r="J129" s="2"/>
      <c r="K129" s="2"/>
    </row>
    <row r="130" spans="2:13" x14ac:dyDescent="0.35">
      <c r="B130" s="2" t="s">
        <v>197</v>
      </c>
      <c r="C130" s="13" t="s">
        <v>195</v>
      </c>
      <c r="G130" s="8">
        <v>3000</v>
      </c>
      <c r="H130" s="8"/>
      <c r="I130" s="2"/>
      <c r="J130" s="2"/>
      <c r="K130" s="2"/>
    </row>
    <row r="131" spans="2:13" x14ac:dyDescent="0.35">
      <c r="B131" s="2" t="s">
        <v>198</v>
      </c>
      <c r="C131" s="13" t="s">
        <v>196</v>
      </c>
      <c r="G131" s="8">
        <v>2000</v>
      </c>
      <c r="H131" s="8"/>
      <c r="I131" s="2"/>
      <c r="J131" s="2"/>
      <c r="K131" s="2"/>
    </row>
    <row r="132" spans="2:13" x14ac:dyDescent="0.35">
      <c r="B132" s="21"/>
      <c r="C132" s="26" t="s">
        <v>200</v>
      </c>
      <c r="D132" s="46"/>
      <c r="E132" s="21"/>
      <c r="F132" s="21"/>
      <c r="G132" s="53">
        <f>SUM(G130:G131)</f>
        <v>5000</v>
      </c>
      <c r="H132" s="50">
        <f>G132*1.08</f>
        <v>5400</v>
      </c>
      <c r="I132" s="2"/>
      <c r="J132" s="2"/>
      <c r="K132" s="2"/>
      <c r="M132" s="5"/>
    </row>
    <row r="133" spans="2:13" x14ac:dyDescent="0.35">
      <c r="C133" s="13"/>
      <c r="G133" s="8"/>
      <c r="H133" s="8"/>
      <c r="L133" s="4"/>
    </row>
    <row r="134" spans="2:13" x14ac:dyDescent="0.35">
      <c r="B134" s="20"/>
      <c r="C134" s="18" t="s">
        <v>171</v>
      </c>
      <c r="D134" s="47"/>
      <c r="E134" s="20"/>
      <c r="F134" s="20"/>
      <c r="G134" s="32">
        <f>G132+G127+G111+G91+G58+G10</f>
        <v>590476.6</v>
      </c>
      <c r="H134" s="32">
        <f>G134*1.08</f>
        <v>637714.728</v>
      </c>
      <c r="L134" s="4"/>
    </row>
    <row r="135" spans="2:13" x14ac:dyDescent="0.35">
      <c r="B135" s="4"/>
      <c r="C135" s="4"/>
      <c r="D135" s="48"/>
      <c r="E135" s="4"/>
      <c r="F135" s="4"/>
      <c r="G135" s="4"/>
      <c r="L135" s="4"/>
    </row>
    <row r="136" spans="2:13" x14ac:dyDescent="0.35">
      <c r="B136" s="4"/>
      <c r="C136" s="4"/>
      <c r="D136" s="48"/>
      <c r="E136" s="4"/>
      <c r="F136" s="4"/>
      <c r="G136" s="4"/>
      <c r="L136" s="4"/>
    </row>
    <row r="137" spans="2:13" x14ac:dyDescent="0.35">
      <c r="B137" s="4"/>
      <c r="C137" s="4"/>
      <c r="D137" s="48"/>
      <c r="E137" s="4"/>
      <c r="F137" s="4"/>
      <c r="G137" s="4"/>
      <c r="L137" s="10"/>
      <c r="M137" s="10"/>
    </row>
    <row r="138" spans="2:13" x14ac:dyDescent="0.35">
      <c r="B138" s="4"/>
      <c r="C138" s="4"/>
      <c r="D138" s="48"/>
      <c r="E138" s="4"/>
      <c r="F138" s="4"/>
      <c r="G138" s="4"/>
      <c r="L138" s="10"/>
      <c r="M138" s="10"/>
    </row>
    <row r="145" spans="3:23" x14ac:dyDescent="0.35">
      <c r="C145" s="15"/>
    </row>
    <row r="146" spans="3:23" x14ac:dyDescent="0.35">
      <c r="C146" s="11"/>
    </row>
    <row r="147" spans="3:23" x14ac:dyDescent="0.35">
      <c r="C147" s="11"/>
      <c r="E147" s="16"/>
    </row>
    <row r="148" spans="3:23" x14ac:dyDescent="0.35">
      <c r="C148" s="11"/>
      <c r="F148" s="10"/>
      <c r="L148" s="10"/>
      <c r="M148" s="10"/>
      <c r="Q148" s="14"/>
      <c r="R148" s="10"/>
      <c r="U148" s="10"/>
      <c r="W148" s="10"/>
    </row>
    <row r="149" spans="3:23" x14ac:dyDescent="0.35">
      <c r="C149" s="11"/>
      <c r="F149" s="10"/>
      <c r="L149" s="10"/>
      <c r="M149" s="10"/>
      <c r="Q149" s="10"/>
      <c r="R149" s="10"/>
      <c r="U149" s="10"/>
      <c r="W149" s="10"/>
    </row>
    <row r="150" spans="3:23" x14ac:dyDescent="0.35">
      <c r="C150" s="11"/>
      <c r="F150" s="10"/>
      <c r="L150" s="10"/>
      <c r="M150" s="10"/>
      <c r="Q150" s="10"/>
      <c r="R150" s="10"/>
      <c r="U150" s="10"/>
      <c r="W150" s="10"/>
    </row>
    <row r="151" spans="3:23" x14ac:dyDescent="0.35">
      <c r="C151" s="11"/>
      <c r="W151" s="10"/>
    </row>
    <row r="152" spans="3:23" x14ac:dyDescent="0.35">
      <c r="C152" s="11"/>
      <c r="W152" s="10"/>
    </row>
    <row r="153" spans="3:23" x14ac:dyDescent="0.35">
      <c r="C153" s="11"/>
      <c r="W153" s="10"/>
    </row>
    <row r="154" spans="3:23" x14ac:dyDescent="0.35">
      <c r="C154" s="11"/>
      <c r="W154" s="10"/>
    </row>
    <row r="155" spans="3:23" x14ac:dyDescent="0.35">
      <c r="C155" s="11"/>
      <c r="F155" s="10"/>
      <c r="L155" s="10"/>
      <c r="M155" s="10"/>
      <c r="Q155" s="14"/>
      <c r="R155" s="10"/>
      <c r="U155" s="10"/>
      <c r="W155" s="10"/>
    </row>
    <row r="156" spans="3:23" x14ac:dyDescent="0.35">
      <c r="C156" s="11"/>
      <c r="F156" s="10"/>
      <c r="L156" s="10"/>
      <c r="M156" s="10"/>
      <c r="Q156" s="10"/>
      <c r="R156" s="10"/>
      <c r="U156" s="10"/>
      <c r="W156" s="10"/>
    </row>
    <row r="157" spans="3:23" x14ac:dyDescent="0.35">
      <c r="C157" s="11"/>
      <c r="F157" s="10"/>
      <c r="L157" s="10"/>
      <c r="M157" s="10"/>
      <c r="Q157" s="10"/>
      <c r="R157" s="10"/>
      <c r="U157" s="10"/>
      <c r="W157" s="10"/>
    </row>
  </sheetData>
  <mergeCells count="6">
    <mergeCell ref="B2:H2"/>
    <mergeCell ref="H61:H67"/>
    <mergeCell ref="Q40:S40"/>
    <mergeCell ref="L40:O40"/>
    <mergeCell ref="L30:S31"/>
    <mergeCell ref="L32:S32"/>
  </mergeCells>
  <phoneticPr fontId="3" type="noConversion"/>
  <hyperlinks>
    <hyperlink ref="P6" r:id="rId1" display="https://domymodelowe.pl/" xr:uid="{00000000-0004-0000-0000-000000000000}"/>
    <hyperlink ref="P7" r:id="rId2" xr:uid="{00000000-0004-0000-0000-000001000000}"/>
    <hyperlink ref="O32" r:id="rId3" xr:uid="{00000000-0004-0000-0000-000002000000}"/>
    <hyperlink ref="L32" r:id="rId4" xr:uid="{00000000-0004-0000-0000-000003000000}"/>
    <hyperlink ref="P8" r:id="rId5" display="https://www.youtube.com/watch?v=Ol_CFRIb8uw" xr:uid="{1DD37547-03B9-4378-8D55-8CA97B404BEF}"/>
  </hyperlinks>
  <pageMargins left="0.7" right="0.7" top="0.75" bottom="0.75" header="0.3" footer="0.3"/>
  <pageSetup paperSize="9" orientation="portrait" r:id="rId6"/>
  <drawing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Kosztorys budowy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Sławek Zając</cp:lastModifiedBy>
  <dcterms:created xsi:type="dcterms:W3CDTF">2022-12-08T09:00:40Z</dcterms:created>
  <dcterms:modified xsi:type="dcterms:W3CDTF">2025-07-28T10:14:26Z</dcterms:modified>
</cp:coreProperties>
</file>